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hcr365-my.sharepoint.com/personal/vavic_unhcr_org/Documents/000 Sudan/0 0 0 Sudan WAR/2024 HRP/Targets and Costs/0 - Final Revised Targets and Costs - HRP 2024/"/>
    </mc:Choice>
  </mc:AlternateContent>
  <xr:revisionPtr revIDLastSave="1513" documentId="8_{A46585FF-A004-43E8-85D9-58F3AD8A4916}" xr6:coauthVersionLast="47" xr6:coauthVersionMax="47" xr10:uidLastSave="{E6158409-4706-47D9-BD7C-606843E6DEFD}"/>
  <bookViews>
    <workbookView xWindow="-96" yWindow="-96" windowWidth="18192" windowHeight="11472" activeTab="2" xr2:uid="{A7329C2A-A915-4450-98FF-8FD6A5287D48}"/>
  </bookViews>
  <sheets>
    <sheet name="Activities" sheetId="9" r:id="rId1"/>
    <sheet name="Objectives" sheetId="2" r:id="rId2"/>
    <sheet name="Targets" sheetId="5" r:id="rId3"/>
    <sheet name="Prioritization calculation" sheetId="10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14" i="5" l="1"/>
  <c r="AH14" i="5"/>
  <c r="AD14" i="5"/>
  <c r="AC14" i="5"/>
  <c r="AB14" i="5"/>
  <c r="AA14" i="5"/>
  <c r="AE14" i="5"/>
  <c r="AF14" i="5"/>
  <c r="AG14" i="5"/>
  <c r="S114" i="5"/>
  <c r="S155" i="5"/>
  <c r="S183" i="5"/>
  <c r="S217" i="5"/>
  <c r="S218" i="5"/>
  <c r="X191" i="5"/>
  <c r="X48" i="5"/>
  <c r="X43" i="5"/>
  <c r="X175" i="5"/>
  <c r="X182" i="5"/>
  <c r="X161" i="5"/>
  <c r="X186" i="5"/>
  <c r="X196" i="5"/>
  <c r="X98" i="5"/>
  <c r="X198" i="5"/>
  <c r="X206" i="5"/>
  <c r="X190" i="5"/>
  <c r="X204" i="5"/>
  <c r="X207" i="5"/>
  <c r="I10" i="9" l="1"/>
  <c r="L10" i="9" s="1"/>
  <c r="I9" i="9"/>
  <c r="L9" i="9" s="1"/>
  <c r="I8" i="9"/>
  <c r="L8" i="9" s="1"/>
  <c r="I7" i="9"/>
  <c r="L7" i="9" s="1"/>
  <c r="I6" i="9"/>
  <c r="L6" i="9" s="1"/>
  <c r="I5" i="9"/>
  <c r="L5" i="9" s="1"/>
  <c r="I4" i="9"/>
  <c r="L4" i="9" s="1"/>
  <c r="I3" i="9"/>
  <c r="L3" i="9" s="1"/>
  <c r="O30" i="5"/>
  <c r="O29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O81" i="5"/>
  <c r="O82" i="5"/>
  <c r="O83" i="5"/>
  <c r="O84" i="5"/>
  <c r="O85" i="5"/>
  <c r="O86" i="5"/>
  <c r="O87" i="5"/>
  <c r="O88" i="5"/>
  <c r="O89" i="5"/>
  <c r="O90" i="5"/>
  <c r="O91" i="5"/>
  <c r="O92" i="5"/>
  <c r="O93" i="5"/>
  <c r="O94" i="5"/>
  <c r="O95" i="5"/>
  <c r="O96" i="5"/>
  <c r="O97" i="5"/>
  <c r="O98" i="5"/>
  <c r="O99" i="5"/>
  <c r="O100" i="5"/>
  <c r="O101" i="5"/>
  <c r="O102" i="5"/>
  <c r="O103" i="5"/>
  <c r="O104" i="5"/>
  <c r="O105" i="5"/>
  <c r="O106" i="5"/>
  <c r="O107" i="5"/>
  <c r="O108" i="5"/>
  <c r="O109" i="5"/>
  <c r="O110" i="5"/>
  <c r="O111" i="5"/>
  <c r="O112" i="5"/>
  <c r="O113" i="5"/>
  <c r="O114" i="5"/>
  <c r="O115" i="5"/>
  <c r="O116" i="5"/>
  <c r="O117" i="5"/>
  <c r="O118" i="5"/>
  <c r="O119" i="5"/>
  <c r="O120" i="5"/>
  <c r="O121" i="5"/>
  <c r="O122" i="5"/>
  <c r="O123" i="5"/>
  <c r="O124" i="5"/>
  <c r="O125" i="5"/>
  <c r="O126" i="5"/>
  <c r="O127" i="5"/>
  <c r="O128" i="5"/>
  <c r="O129" i="5"/>
  <c r="O130" i="5"/>
  <c r="O131" i="5"/>
  <c r="O132" i="5"/>
  <c r="O133" i="5"/>
  <c r="O134" i="5"/>
  <c r="O135" i="5"/>
  <c r="O136" i="5"/>
  <c r="O137" i="5"/>
  <c r="O138" i="5"/>
  <c r="O139" i="5"/>
  <c r="O140" i="5"/>
  <c r="O141" i="5"/>
  <c r="O142" i="5"/>
  <c r="O143" i="5"/>
  <c r="O144" i="5"/>
  <c r="O145" i="5"/>
  <c r="O146" i="5"/>
  <c r="O147" i="5"/>
  <c r="O148" i="5"/>
  <c r="O149" i="5"/>
  <c r="O150" i="5"/>
  <c r="O151" i="5"/>
  <c r="O152" i="5"/>
  <c r="O153" i="5"/>
  <c r="O154" i="5"/>
  <c r="O155" i="5"/>
  <c r="O156" i="5"/>
  <c r="O157" i="5"/>
  <c r="O158" i="5"/>
  <c r="O159" i="5"/>
  <c r="O160" i="5"/>
  <c r="O161" i="5"/>
  <c r="O162" i="5"/>
  <c r="O163" i="5"/>
  <c r="O164" i="5"/>
  <c r="O165" i="5"/>
  <c r="O166" i="5"/>
  <c r="O167" i="5"/>
  <c r="O168" i="5"/>
  <c r="O169" i="5"/>
  <c r="O170" i="5"/>
  <c r="O171" i="5"/>
  <c r="O172" i="5"/>
  <c r="O173" i="5"/>
  <c r="O174" i="5"/>
  <c r="O175" i="5"/>
  <c r="O176" i="5"/>
  <c r="O177" i="5"/>
  <c r="O178" i="5"/>
  <c r="O179" i="5"/>
  <c r="O180" i="5"/>
  <c r="O181" i="5"/>
  <c r="O182" i="5"/>
  <c r="O183" i="5"/>
  <c r="O184" i="5"/>
  <c r="O185" i="5"/>
  <c r="O186" i="5"/>
  <c r="O187" i="5"/>
  <c r="O188" i="5"/>
  <c r="O189" i="5"/>
  <c r="O190" i="5"/>
  <c r="O191" i="5"/>
  <c r="O192" i="5"/>
  <c r="O193" i="5"/>
  <c r="O194" i="5"/>
  <c r="O195" i="5"/>
  <c r="O196" i="5"/>
  <c r="O197" i="5"/>
  <c r="O198" i="5"/>
  <c r="O199" i="5"/>
  <c r="O200" i="5"/>
  <c r="O201" i="5"/>
  <c r="O202" i="5"/>
  <c r="O203" i="5"/>
  <c r="O204" i="5"/>
  <c r="O205" i="5"/>
  <c r="O206" i="5"/>
  <c r="O207" i="5"/>
  <c r="O208" i="5"/>
  <c r="O209" i="5"/>
  <c r="O210" i="5"/>
  <c r="O211" i="5"/>
  <c r="O212" i="5"/>
  <c r="O213" i="5"/>
  <c r="O214" i="5"/>
  <c r="O215" i="5"/>
  <c r="O216" i="5"/>
  <c r="O217" i="5"/>
  <c r="O218" i="5"/>
  <c r="R27" i="5"/>
  <c r="D29" i="5"/>
  <c r="W29" i="5" s="1"/>
  <c r="D33" i="5"/>
  <c r="D43" i="5"/>
  <c r="W43" i="5" s="1"/>
  <c r="D47" i="5"/>
  <c r="U47" i="5" s="1"/>
  <c r="D48" i="5"/>
  <c r="W48" i="5" s="1"/>
  <c r="D51" i="5"/>
  <c r="W51" i="5" s="1"/>
  <c r="D59" i="5"/>
  <c r="V59" i="5" s="1"/>
  <c r="D63" i="5"/>
  <c r="W63" i="5" s="1"/>
  <c r="D64" i="5"/>
  <c r="D65" i="5"/>
  <c r="D66" i="5"/>
  <c r="U66" i="5" s="1"/>
  <c r="D68" i="5"/>
  <c r="D71" i="5"/>
  <c r="W71" i="5" s="1"/>
  <c r="D74" i="5"/>
  <c r="V74" i="5" s="1"/>
  <c r="D77" i="5"/>
  <c r="U77" i="5" s="1"/>
  <c r="D78" i="5"/>
  <c r="W78" i="5" s="1"/>
  <c r="D80" i="5"/>
  <c r="V80" i="5" s="1"/>
  <c r="D81" i="5"/>
  <c r="U81" i="5" s="1"/>
  <c r="D82" i="5"/>
  <c r="D84" i="5"/>
  <c r="W84" i="5" s="1"/>
  <c r="D85" i="5"/>
  <c r="W85" i="5" s="1"/>
  <c r="D94" i="5"/>
  <c r="W94" i="5" s="1"/>
  <c r="D95" i="5"/>
  <c r="D96" i="5"/>
  <c r="D97" i="5"/>
  <c r="W97" i="5" s="1"/>
  <c r="D98" i="5"/>
  <c r="D99" i="5"/>
  <c r="U99" i="5" s="1"/>
  <c r="D100" i="5"/>
  <c r="U100" i="5" s="1"/>
  <c r="D103" i="5"/>
  <c r="W103" i="5" s="1"/>
  <c r="D104" i="5"/>
  <c r="D106" i="5"/>
  <c r="W106" i="5" s="1"/>
  <c r="D109" i="5"/>
  <c r="W109" i="5" s="1"/>
  <c r="D110" i="5"/>
  <c r="W110" i="5" s="1"/>
  <c r="D111" i="5"/>
  <c r="W111" i="5" s="1"/>
  <c r="D112" i="5"/>
  <c r="D113" i="5"/>
  <c r="D114" i="5"/>
  <c r="W114" i="5" s="1"/>
  <c r="D116" i="5"/>
  <c r="V116" i="5" s="1"/>
  <c r="D117" i="5"/>
  <c r="W117" i="5" s="1"/>
  <c r="D121" i="5"/>
  <c r="W121" i="5" s="1"/>
  <c r="D126" i="5"/>
  <c r="U126" i="5" s="1"/>
  <c r="D127" i="5"/>
  <c r="W127" i="5" s="1"/>
  <c r="D128" i="5"/>
  <c r="D129" i="5"/>
  <c r="D130" i="5"/>
  <c r="U130" i="5" s="1"/>
  <c r="D131" i="5"/>
  <c r="W131" i="5" s="1"/>
  <c r="D133" i="5"/>
  <c r="D134" i="5"/>
  <c r="W134" i="5" s="1"/>
  <c r="D135" i="5"/>
  <c r="W135" i="5" s="1"/>
  <c r="D136" i="5"/>
  <c r="D138" i="5"/>
  <c r="V138" i="5" s="1"/>
  <c r="D144" i="5"/>
  <c r="D151" i="5"/>
  <c r="U151" i="5" s="1"/>
  <c r="D152" i="5"/>
  <c r="D153" i="5"/>
  <c r="D155" i="5"/>
  <c r="W155" i="5" s="1"/>
  <c r="D156" i="5"/>
  <c r="W156" i="5" s="1"/>
  <c r="D157" i="5"/>
  <c r="W157" i="5" s="1"/>
  <c r="D160" i="5"/>
  <c r="D161" i="5"/>
  <c r="D163" i="5"/>
  <c r="W163" i="5" s="1"/>
  <c r="D166" i="5"/>
  <c r="V166" i="5" s="1"/>
  <c r="D167" i="5"/>
  <c r="W167" i="5" s="1"/>
  <c r="D168" i="5"/>
  <c r="D169" i="5"/>
  <c r="W169" i="5" s="1"/>
  <c r="D170" i="5"/>
  <c r="D171" i="5"/>
  <c r="V171" i="5" s="1"/>
  <c r="D173" i="5"/>
  <c r="W173" i="5" s="1"/>
  <c r="D174" i="5"/>
  <c r="W174" i="5" s="1"/>
  <c r="D175" i="5"/>
  <c r="W175" i="5" s="1"/>
  <c r="D176" i="5"/>
  <c r="D177" i="5"/>
  <c r="W177" i="5" s="1"/>
  <c r="D178" i="5"/>
  <c r="V178" i="5" s="1"/>
  <c r="D179" i="5"/>
  <c r="V179" i="5" s="1"/>
  <c r="D180" i="5"/>
  <c r="V180" i="5" s="1"/>
  <c r="D181" i="5"/>
  <c r="W181" i="5" s="1"/>
  <c r="D182" i="5"/>
  <c r="V182" i="5" s="1"/>
  <c r="D183" i="5"/>
  <c r="W183" i="5" s="1"/>
  <c r="D184" i="5"/>
  <c r="D186" i="5"/>
  <c r="W186" i="5" s="1"/>
  <c r="D187" i="5"/>
  <c r="V187" i="5" s="1"/>
  <c r="D190" i="5"/>
  <c r="W190" i="5" s="1"/>
  <c r="D191" i="5"/>
  <c r="W191" i="5" s="1"/>
  <c r="D196" i="5"/>
  <c r="V196" i="5" s="1"/>
  <c r="D197" i="5"/>
  <c r="D198" i="5"/>
  <c r="U198" i="5" s="1"/>
  <c r="D199" i="5"/>
  <c r="W199" i="5" s="1"/>
  <c r="D200" i="5"/>
  <c r="D202" i="5"/>
  <c r="W202" i="5" s="1"/>
  <c r="D204" i="5"/>
  <c r="U204" i="5" s="1"/>
  <c r="D205" i="5"/>
  <c r="V205" i="5" s="1"/>
  <c r="D206" i="5"/>
  <c r="V206" i="5" s="1"/>
  <c r="D207" i="5"/>
  <c r="U207" i="5" s="1"/>
  <c r="D208" i="5"/>
  <c r="D209" i="5"/>
  <c r="D217" i="5"/>
  <c r="W217" i="5" s="1"/>
  <c r="D218" i="5"/>
  <c r="U218" i="5" s="1"/>
  <c r="L2" i="10"/>
  <c r="L3" i="10"/>
  <c r="L4" i="10"/>
  <c r="L5" i="10"/>
  <c r="L6" i="10"/>
  <c r="L7" i="10"/>
  <c r="L8" i="10"/>
  <c r="L9" i="10"/>
  <c r="L10" i="10"/>
  <c r="L11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34" i="10"/>
  <c r="L35" i="10"/>
  <c r="L36" i="10"/>
  <c r="L37" i="10"/>
  <c r="L38" i="10"/>
  <c r="L39" i="10"/>
  <c r="L40" i="10"/>
  <c r="L41" i="10"/>
  <c r="L42" i="10"/>
  <c r="L43" i="10"/>
  <c r="L44" i="10"/>
  <c r="L45" i="10"/>
  <c r="L46" i="10"/>
  <c r="L47" i="10"/>
  <c r="L48" i="10"/>
  <c r="L49" i="10"/>
  <c r="L50" i="10"/>
  <c r="L51" i="10"/>
  <c r="L52" i="10"/>
  <c r="L53" i="10"/>
  <c r="L54" i="10"/>
  <c r="L55" i="10"/>
  <c r="L56" i="10"/>
  <c r="L57" i="10"/>
  <c r="L58" i="10"/>
  <c r="L59" i="10"/>
  <c r="L60" i="10"/>
  <c r="L61" i="10"/>
  <c r="L62" i="10"/>
  <c r="L63" i="10"/>
  <c r="L64" i="10"/>
  <c r="L65" i="10"/>
  <c r="L66" i="10"/>
  <c r="L67" i="10"/>
  <c r="L68" i="10"/>
  <c r="L69" i="10"/>
  <c r="L70" i="10"/>
  <c r="L71" i="10"/>
  <c r="L72" i="10"/>
  <c r="L73" i="10"/>
  <c r="L74" i="10"/>
  <c r="L75" i="10"/>
  <c r="L76" i="10"/>
  <c r="L77" i="10"/>
  <c r="L78" i="10"/>
  <c r="L79" i="10"/>
  <c r="L80" i="10"/>
  <c r="L81" i="10"/>
  <c r="L82" i="10"/>
  <c r="L83" i="10"/>
  <c r="L84" i="10"/>
  <c r="L85" i="10"/>
  <c r="L86" i="10"/>
  <c r="L87" i="10"/>
  <c r="L88" i="10"/>
  <c r="L89" i="10"/>
  <c r="L90" i="10"/>
  <c r="L91" i="10"/>
  <c r="L92" i="10"/>
  <c r="L93" i="10"/>
  <c r="L94" i="10"/>
  <c r="L95" i="10"/>
  <c r="L96" i="10"/>
  <c r="L97" i="10"/>
  <c r="L98" i="10"/>
  <c r="L99" i="10"/>
  <c r="L100" i="10"/>
  <c r="L101" i="10"/>
  <c r="L102" i="10"/>
  <c r="L103" i="10"/>
  <c r="L104" i="10"/>
  <c r="L105" i="10"/>
  <c r="L106" i="10"/>
  <c r="L107" i="10"/>
  <c r="L108" i="10"/>
  <c r="L109" i="10"/>
  <c r="L110" i="10"/>
  <c r="L111" i="10"/>
  <c r="L112" i="10"/>
  <c r="L113" i="10"/>
  <c r="L114" i="10"/>
  <c r="L115" i="10"/>
  <c r="L116" i="10"/>
  <c r="L117" i="10"/>
  <c r="L118" i="10"/>
  <c r="L119" i="10"/>
  <c r="L120" i="10"/>
  <c r="L121" i="10"/>
  <c r="L122" i="10"/>
  <c r="L123" i="10"/>
  <c r="L124" i="10"/>
  <c r="L125" i="10"/>
  <c r="L126" i="10"/>
  <c r="L127" i="10"/>
  <c r="L128" i="10"/>
  <c r="L129" i="10"/>
  <c r="L130" i="10"/>
  <c r="L131" i="10"/>
  <c r="L132" i="10"/>
  <c r="L133" i="10"/>
  <c r="L134" i="10"/>
  <c r="L135" i="10"/>
  <c r="L136" i="10"/>
  <c r="L137" i="10"/>
  <c r="L138" i="10"/>
  <c r="L139" i="10"/>
  <c r="L140" i="10"/>
  <c r="L141" i="10"/>
  <c r="L142" i="10"/>
  <c r="L143" i="10"/>
  <c r="L144" i="10"/>
  <c r="L145" i="10"/>
  <c r="L146" i="10"/>
  <c r="L147" i="10"/>
  <c r="L148" i="10"/>
  <c r="L149" i="10"/>
  <c r="L150" i="10"/>
  <c r="L151" i="10"/>
  <c r="L152" i="10"/>
  <c r="L153" i="10"/>
  <c r="L154" i="10"/>
  <c r="L155" i="10"/>
  <c r="L156" i="10"/>
  <c r="L157" i="10"/>
  <c r="L158" i="10"/>
  <c r="L159" i="10"/>
  <c r="L160" i="10"/>
  <c r="L161" i="10"/>
  <c r="L162" i="10"/>
  <c r="L163" i="10"/>
  <c r="L164" i="10"/>
  <c r="L165" i="10"/>
  <c r="L166" i="10"/>
  <c r="L167" i="10"/>
  <c r="L168" i="10"/>
  <c r="L169" i="10"/>
  <c r="L170" i="10"/>
  <c r="L171" i="10"/>
  <c r="L172" i="10"/>
  <c r="L173" i="10"/>
  <c r="L174" i="10"/>
  <c r="L175" i="10"/>
  <c r="L176" i="10"/>
  <c r="L177" i="10"/>
  <c r="L178" i="10"/>
  <c r="L179" i="10"/>
  <c r="L180" i="10"/>
  <c r="L181" i="10"/>
  <c r="L182" i="10"/>
  <c r="L183" i="10"/>
  <c r="L184" i="10"/>
  <c r="L185" i="10"/>
  <c r="L186" i="10"/>
  <c r="L187" i="10"/>
  <c r="L188" i="10"/>
  <c r="L189" i="10"/>
  <c r="L190" i="10"/>
  <c r="L191" i="10"/>
  <c r="K167" i="10"/>
  <c r="AI102" i="5"/>
  <c r="AI92" i="5"/>
  <c r="AI193" i="5"/>
  <c r="AI29" i="5"/>
  <c r="AI87" i="5"/>
  <c r="AI90" i="5"/>
  <c r="AI117" i="5"/>
  <c r="AI165" i="5"/>
  <c r="AI86" i="5"/>
  <c r="AI105" i="5"/>
  <c r="AI31" i="5"/>
  <c r="AI213" i="5"/>
  <c r="AI53" i="5"/>
  <c r="AI164" i="5"/>
  <c r="AI41" i="5"/>
  <c r="AI130" i="5"/>
  <c r="AI139" i="5"/>
  <c r="AI209" i="5"/>
  <c r="AI79" i="5"/>
  <c r="AI35" i="5"/>
  <c r="AI48" i="5"/>
  <c r="AI199" i="5"/>
  <c r="AI205" i="5"/>
  <c r="AI173" i="5"/>
  <c r="AI204" i="5"/>
  <c r="AI47" i="5"/>
  <c r="AI85" i="5"/>
  <c r="AI190" i="5"/>
  <c r="AI115" i="5"/>
  <c r="AI140" i="5"/>
  <c r="AI91" i="5"/>
  <c r="AI89" i="5"/>
  <c r="AI95" i="5"/>
  <c r="AI126" i="5"/>
  <c r="AI114" i="5"/>
  <c r="AI71" i="5"/>
  <c r="AI49" i="5"/>
  <c r="AI72" i="5"/>
  <c r="AI210" i="5"/>
  <c r="AI128" i="5"/>
  <c r="AI159" i="5"/>
  <c r="AI216" i="5"/>
  <c r="AI212" i="5"/>
  <c r="AI88" i="5"/>
  <c r="AI218" i="5"/>
  <c r="AI131" i="5"/>
  <c r="AI63" i="5"/>
  <c r="AI38" i="5"/>
  <c r="AI52" i="5"/>
  <c r="AI54" i="5"/>
  <c r="AI55" i="5"/>
  <c r="AI57" i="5"/>
  <c r="AI59" i="5"/>
  <c r="AI60" i="5"/>
  <c r="AI61" i="5"/>
  <c r="AI62" i="5"/>
  <c r="AI67" i="5"/>
  <c r="AI70" i="5"/>
  <c r="AI73" i="5"/>
  <c r="AI74" i="5"/>
  <c r="AI75" i="5"/>
  <c r="AI76" i="5"/>
  <c r="AI80" i="5"/>
  <c r="AI81" i="5"/>
  <c r="AI82" i="5"/>
  <c r="AI96" i="5"/>
  <c r="AI97" i="5"/>
  <c r="AI98" i="5"/>
  <c r="AI99" i="5"/>
  <c r="AI100" i="5"/>
  <c r="AI101" i="5"/>
  <c r="AI103" i="5"/>
  <c r="AI104" i="5"/>
  <c r="AI106" i="5"/>
  <c r="AI107" i="5"/>
  <c r="AI108" i="5"/>
  <c r="AI109" i="5"/>
  <c r="AI110" i="5"/>
  <c r="AI111" i="5"/>
  <c r="AI112" i="5"/>
  <c r="AI113" i="5"/>
  <c r="AI116" i="5"/>
  <c r="AI120" i="5"/>
  <c r="AI121" i="5"/>
  <c r="AI122" i="5"/>
  <c r="AI123" i="5"/>
  <c r="AI125" i="5"/>
  <c r="AI127" i="5"/>
  <c r="AI129" i="5"/>
  <c r="AI132" i="5"/>
  <c r="AI133" i="5"/>
  <c r="AI134" i="5"/>
  <c r="AI138" i="5"/>
  <c r="AI145" i="5"/>
  <c r="AI150" i="5"/>
  <c r="AI151" i="5"/>
  <c r="AI152" i="5"/>
  <c r="AI153" i="5"/>
  <c r="AI154" i="5"/>
  <c r="AI155" i="5"/>
  <c r="AI156" i="5"/>
  <c r="AI157" i="5"/>
  <c r="AI158" i="5"/>
  <c r="AI160" i="5"/>
  <c r="AI161" i="5"/>
  <c r="AI162" i="5"/>
  <c r="AI163" i="5"/>
  <c r="AI166" i="5"/>
  <c r="AI167" i="5"/>
  <c r="AI168" i="5"/>
  <c r="AI169" i="5"/>
  <c r="AI170" i="5"/>
  <c r="AI171" i="5"/>
  <c r="AI172" i="5"/>
  <c r="AI174" i="5"/>
  <c r="AI175" i="5"/>
  <c r="AI176" i="5"/>
  <c r="AI177" i="5"/>
  <c r="AI178" i="5"/>
  <c r="AI179" i="5"/>
  <c r="AI180" i="5"/>
  <c r="AI181" i="5"/>
  <c r="AI182" i="5"/>
  <c r="AI183" i="5"/>
  <c r="AI184" i="5"/>
  <c r="AI185" i="5"/>
  <c r="AI186" i="5"/>
  <c r="AI187" i="5"/>
  <c r="AI189" i="5"/>
  <c r="AI191" i="5"/>
  <c r="AI192" i="5"/>
  <c r="AI194" i="5"/>
  <c r="AI195" i="5"/>
  <c r="AI198" i="5"/>
  <c r="AI200" i="5"/>
  <c r="AI201" i="5"/>
  <c r="AI202" i="5"/>
  <c r="AI206" i="5"/>
  <c r="AI208" i="5"/>
  <c r="T2" i="10"/>
  <c r="T3" i="10"/>
  <c r="T4" i="10"/>
  <c r="T5" i="10"/>
  <c r="T6" i="10"/>
  <c r="T7" i="10"/>
  <c r="T8" i="10"/>
  <c r="T9" i="10"/>
  <c r="T10" i="10"/>
  <c r="T11" i="10"/>
  <c r="T12" i="10"/>
  <c r="T13" i="10"/>
  <c r="T14" i="10"/>
  <c r="T15" i="10"/>
  <c r="T16" i="10"/>
  <c r="T17" i="10"/>
  <c r="T18" i="10"/>
  <c r="T19" i="10"/>
  <c r="T20" i="10"/>
  <c r="T21" i="10"/>
  <c r="T22" i="10"/>
  <c r="T23" i="10"/>
  <c r="T24" i="10"/>
  <c r="T25" i="10"/>
  <c r="T26" i="10"/>
  <c r="T27" i="10"/>
  <c r="T28" i="10"/>
  <c r="T29" i="10"/>
  <c r="T30" i="10"/>
  <c r="T31" i="10"/>
  <c r="T32" i="10"/>
  <c r="T33" i="10"/>
  <c r="T34" i="10"/>
  <c r="T35" i="10"/>
  <c r="T36" i="10"/>
  <c r="T37" i="10"/>
  <c r="T38" i="10"/>
  <c r="T39" i="10"/>
  <c r="T40" i="10"/>
  <c r="T41" i="10"/>
  <c r="T42" i="10"/>
  <c r="T43" i="10"/>
  <c r="T44" i="10"/>
  <c r="T45" i="10"/>
  <c r="T46" i="10"/>
  <c r="T47" i="10"/>
  <c r="T48" i="10"/>
  <c r="T49" i="10"/>
  <c r="T50" i="10"/>
  <c r="T51" i="10"/>
  <c r="T52" i="10"/>
  <c r="T53" i="10"/>
  <c r="T54" i="10"/>
  <c r="T55" i="10"/>
  <c r="T56" i="10"/>
  <c r="T57" i="10"/>
  <c r="T58" i="10"/>
  <c r="T59" i="10"/>
  <c r="T60" i="10"/>
  <c r="T61" i="10"/>
  <c r="T62" i="10"/>
  <c r="T63" i="10"/>
  <c r="T64" i="10"/>
  <c r="T65" i="10"/>
  <c r="T66" i="10"/>
  <c r="T67" i="10"/>
  <c r="T68" i="10"/>
  <c r="T69" i="10"/>
  <c r="T70" i="10"/>
  <c r="T71" i="10"/>
  <c r="T72" i="10"/>
  <c r="T73" i="10"/>
  <c r="T74" i="10"/>
  <c r="T75" i="10"/>
  <c r="T76" i="10"/>
  <c r="T77" i="10"/>
  <c r="T78" i="10"/>
  <c r="T79" i="10"/>
  <c r="T80" i="10"/>
  <c r="T81" i="10"/>
  <c r="T82" i="10"/>
  <c r="T83" i="10"/>
  <c r="T84" i="10"/>
  <c r="T85" i="10"/>
  <c r="T86" i="10"/>
  <c r="T87" i="10"/>
  <c r="T88" i="10"/>
  <c r="T89" i="10"/>
  <c r="T90" i="10"/>
  <c r="T91" i="10"/>
  <c r="T92" i="10"/>
  <c r="T93" i="10"/>
  <c r="T94" i="10"/>
  <c r="T95" i="10"/>
  <c r="T96" i="10"/>
  <c r="T97" i="10"/>
  <c r="T98" i="10"/>
  <c r="T99" i="10"/>
  <c r="T100" i="10"/>
  <c r="T101" i="10"/>
  <c r="T102" i="10"/>
  <c r="T103" i="10"/>
  <c r="T104" i="10"/>
  <c r="T105" i="10"/>
  <c r="T106" i="10"/>
  <c r="T107" i="10"/>
  <c r="T108" i="10"/>
  <c r="T109" i="10"/>
  <c r="T110" i="10"/>
  <c r="T111" i="10"/>
  <c r="T112" i="10"/>
  <c r="T113" i="10"/>
  <c r="T114" i="10"/>
  <c r="T115" i="10"/>
  <c r="T116" i="10"/>
  <c r="T117" i="10"/>
  <c r="T118" i="10"/>
  <c r="T119" i="10"/>
  <c r="T120" i="10"/>
  <c r="T121" i="10"/>
  <c r="T122" i="10"/>
  <c r="T123" i="10"/>
  <c r="T124" i="10"/>
  <c r="T125" i="10"/>
  <c r="T126" i="10"/>
  <c r="T127" i="10"/>
  <c r="T128" i="10"/>
  <c r="T129" i="10"/>
  <c r="T130" i="10"/>
  <c r="T131" i="10"/>
  <c r="T132" i="10"/>
  <c r="T133" i="10"/>
  <c r="T134" i="10"/>
  <c r="T135" i="10"/>
  <c r="T136" i="10"/>
  <c r="T137" i="10"/>
  <c r="T138" i="10"/>
  <c r="T139" i="10"/>
  <c r="T140" i="10"/>
  <c r="T141" i="10"/>
  <c r="T142" i="10"/>
  <c r="T143" i="10"/>
  <c r="T144" i="10"/>
  <c r="T145" i="10"/>
  <c r="T146" i="10"/>
  <c r="T147" i="10"/>
  <c r="T148" i="10"/>
  <c r="T149" i="10"/>
  <c r="T150" i="10"/>
  <c r="T151" i="10"/>
  <c r="T152" i="10"/>
  <c r="T153" i="10"/>
  <c r="T154" i="10"/>
  <c r="T155" i="10"/>
  <c r="T156" i="10"/>
  <c r="T157" i="10"/>
  <c r="T158" i="10"/>
  <c r="T159" i="10"/>
  <c r="T160" i="10"/>
  <c r="T161" i="10"/>
  <c r="T162" i="10"/>
  <c r="T163" i="10"/>
  <c r="T164" i="10"/>
  <c r="T165" i="10"/>
  <c r="T166" i="10"/>
  <c r="T167" i="10"/>
  <c r="T168" i="10"/>
  <c r="T169" i="10"/>
  <c r="T170" i="10"/>
  <c r="T171" i="10"/>
  <c r="T172" i="10"/>
  <c r="T173" i="10"/>
  <c r="T174" i="10"/>
  <c r="T175" i="10"/>
  <c r="T176" i="10"/>
  <c r="T177" i="10"/>
  <c r="T178" i="10"/>
  <c r="T179" i="10"/>
  <c r="T180" i="10"/>
  <c r="T181" i="10"/>
  <c r="T182" i="10"/>
  <c r="T183" i="10"/>
  <c r="T184" i="10"/>
  <c r="T185" i="10"/>
  <c r="T186" i="10"/>
  <c r="T187" i="10"/>
  <c r="T188" i="10"/>
  <c r="T189" i="10"/>
  <c r="T190" i="10"/>
  <c r="T191" i="10"/>
  <c r="O191" i="10"/>
  <c r="M191" i="10"/>
  <c r="N191" i="10"/>
  <c r="S191" i="10"/>
  <c r="Q191" i="10"/>
  <c r="P191" i="10"/>
  <c r="O190" i="10"/>
  <c r="Q190" i="10"/>
  <c r="P190" i="10"/>
  <c r="O189" i="10"/>
  <c r="M189" i="10"/>
  <c r="N189" i="10"/>
  <c r="S189" i="10"/>
  <c r="Q189" i="10"/>
  <c r="P189" i="10"/>
  <c r="O188" i="10"/>
  <c r="R188" i="10"/>
  <c r="Q188" i="10"/>
  <c r="P188" i="10"/>
  <c r="O187" i="10"/>
  <c r="M187" i="10"/>
  <c r="N187" i="10"/>
  <c r="S187" i="10"/>
  <c r="R187" i="10"/>
  <c r="Q187" i="10"/>
  <c r="P187" i="10"/>
  <c r="O186" i="10"/>
  <c r="R186" i="10"/>
  <c r="Q186" i="10"/>
  <c r="P186" i="10"/>
  <c r="O185" i="10"/>
  <c r="Q185" i="10"/>
  <c r="P185" i="10"/>
  <c r="O184" i="10"/>
  <c r="M184" i="10"/>
  <c r="N184" i="10"/>
  <c r="S184" i="10"/>
  <c r="Q184" i="10"/>
  <c r="P184" i="10"/>
  <c r="O183" i="10"/>
  <c r="M183" i="10"/>
  <c r="N183" i="10"/>
  <c r="S183" i="10"/>
  <c r="Q183" i="10"/>
  <c r="P183" i="10"/>
  <c r="O182" i="10"/>
  <c r="Q182" i="10"/>
  <c r="P182" i="10"/>
  <c r="O181" i="10"/>
  <c r="M181" i="10"/>
  <c r="N181" i="10"/>
  <c r="S181" i="10"/>
  <c r="Q181" i="10"/>
  <c r="P181" i="10"/>
  <c r="O180" i="10"/>
  <c r="M180" i="10"/>
  <c r="N180" i="10"/>
  <c r="S180" i="10"/>
  <c r="R180" i="10"/>
  <c r="Q180" i="10"/>
  <c r="P180" i="10"/>
  <c r="O179" i="10"/>
  <c r="R179" i="10"/>
  <c r="Q179" i="10"/>
  <c r="P179" i="10"/>
  <c r="O178" i="10"/>
  <c r="R178" i="10"/>
  <c r="Q178" i="10"/>
  <c r="P178" i="10"/>
  <c r="O177" i="10"/>
  <c r="R177" i="10"/>
  <c r="Q177" i="10"/>
  <c r="P177" i="10"/>
  <c r="O176" i="10"/>
  <c r="M176" i="10"/>
  <c r="N176" i="10"/>
  <c r="S176" i="10"/>
  <c r="Q176" i="10"/>
  <c r="P176" i="10"/>
  <c r="O175" i="10"/>
  <c r="M175" i="10"/>
  <c r="N175" i="10"/>
  <c r="S175" i="10"/>
  <c r="Q175" i="10"/>
  <c r="P175" i="10"/>
  <c r="O174" i="10"/>
  <c r="Q174" i="10"/>
  <c r="P174" i="10"/>
  <c r="O173" i="10"/>
  <c r="M173" i="10"/>
  <c r="N173" i="10"/>
  <c r="S173" i="10"/>
  <c r="Q173" i="10"/>
  <c r="P173" i="10"/>
  <c r="O172" i="10"/>
  <c r="R172" i="10"/>
  <c r="Q172" i="10"/>
  <c r="P172" i="10"/>
  <c r="O171" i="10"/>
  <c r="M171" i="10"/>
  <c r="N171" i="10"/>
  <c r="S171" i="10"/>
  <c r="Q171" i="10"/>
  <c r="P171" i="10"/>
  <c r="O170" i="10"/>
  <c r="M170" i="10"/>
  <c r="N170" i="10"/>
  <c r="S170" i="10"/>
  <c r="Q170" i="10"/>
  <c r="P170" i="10"/>
  <c r="O169" i="10"/>
  <c r="R169" i="10"/>
  <c r="Q169" i="10"/>
  <c r="P169" i="10"/>
  <c r="O168" i="10"/>
  <c r="Q168" i="10"/>
  <c r="P168" i="10"/>
  <c r="O167" i="10"/>
  <c r="M167" i="10"/>
  <c r="N167" i="10"/>
  <c r="S167" i="10"/>
  <c r="Q167" i="10"/>
  <c r="P167" i="10"/>
  <c r="O166" i="10"/>
  <c r="Q166" i="10"/>
  <c r="P166" i="10"/>
  <c r="O165" i="10"/>
  <c r="M165" i="10"/>
  <c r="N165" i="10"/>
  <c r="S165" i="10"/>
  <c r="Q165" i="10"/>
  <c r="P165" i="10"/>
  <c r="O164" i="10"/>
  <c r="R164" i="10"/>
  <c r="Q164" i="10"/>
  <c r="P164" i="10"/>
  <c r="O163" i="10"/>
  <c r="R163" i="10"/>
  <c r="Q163" i="10"/>
  <c r="P163" i="10"/>
  <c r="O162" i="10"/>
  <c r="M162" i="10"/>
  <c r="N162" i="10"/>
  <c r="S162" i="10"/>
  <c r="R162" i="10"/>
  <c r="Q162" i="10"/>
  <c r="P162" i="10"/>
  <c r="O161" i="10"/>
  <c r="R161" i="10"/>
  <c r="Q161" i="10"/>
  <c r="P161" i="10"/>
  <c r="O160" i="10"/>
  <c r="M160" i="10"/>
  <c r="N160" i="10"/>
  <c r="S160" i="10"/>
  <c r="Q160" i="10"/>
  <c r="P160" i="10"/>
  <c r="O159" i="10"/>
  <c r="M159" i="10"/>
  <c r="N159" i="10"/>
  <c r="S159" i="10"/>
  <c r="Q159" i="10"/>
  <c r="P159" i="10"/>
  <c r="O158" i="10"/>
  <c r="Q158" i="10"/>
  <c r="P158" i="10"/>
  <c r="O157" i="10"/>
  <c r="M157" i="10"/>
  <c r="N157" i="10"/>
  <c r="S157" i="10"/>
  <c r="Q157" i="10"/>
  <c r="P157" i="10"/>
  <c r="O156" i="10"/>
  <c r="Q156" i="10"/>
  <c r="P156" i="10"/>
  <c r="O155" i="10"/>
  <c r="Q155" i="10"/>
  <c r="P155" i="10"/>
  <c r="O154" i="10"/>
  <c r="Q154" i="10"/>
  <c r="P154" i="10"/>
  <c r="O153" i="10"/>
  <c r="R153" i="10"/>
  <c r="Q153" i="10"/>
  <c r="P153" i="10"/>
  <c r="O152" i="10"/>
  <c r="M152" i="10"/>
  <c r="N152" i="10"/>
  <c r="S152" i="10"/>
  <c r="Q152" i="10"/>
  <c r="P152" i="10"/>
  <c r="O151" i="10"/>
  <c r="M151" i="10"/>
  <c r="N151" i="10"/>
  <c r="S151" i="10"/>
  <c r="Q151" i="10"/>
  <c r="P151" i="10"/>
  <c r="O150" i="10"/>
  <c r="Q150" i="10"/>
  <c r="P150" i="10"/>
  <c r="O149" i="10"/>
  <c r="M149" i="10"/>
  <c r="N149" i="10"/>
  <c r="S149" i="10"/>
  <c r="Q149" i="10"/>
  <c r="P149" i="10"/>
  <c r="O148" i="10"/>
  <c r="Q148" i="10"/>
  <c r="P148" i="10"/>
  <c r="O147" i="10"/>
  <c r="Q147" i="10"/>
  <c r="P147" i="10"/>
  <c r="O146" i="10"/>
  <c r="Q146" i="10"/>
  <c r="P146" i="10"/>
  <c r="O145" i="10"/>
  <c r="R145" i="10"/>
  <c r="Q145" i="10"/>
  <c r="P145" i="10"/>
  <c r="O144" i="10"/>
  <c r="Q144" i="10"/>
  <c r="P144" i="10"/>
  <c r="O143" i="10"/>
  <c r="M143" i="10"/>
  <c r="N143" i="10"/>
  <c r="S143" i="10"/>
  <c r="Q143" i="10"/>
  <c r="P143" i="10"/>
  <c r="O142" i="10"/>
  <c r="Q142" i="10"/>
  <c r="P142" i="10"/>
  <c r="O141" i="10"/>
  <c r="M141" i="10"/>
  <c r="N141" i="10"/>
  <c r="S141" i="10"/>
  <c r="Q141" i="10"/>
  <c r="P141" i="10"/>
  <c r="O140" i="10"/>
  <c r="R140" i="10"/>
  <c r="Q140" i="10"/>
  <c r="P140" i="10"/>
  <c r="O139" i="10"/>
  <c r="M139" i="10"/>
  <c r="N139" i="10"/>
  <c r="S139" i="10"/>
  <c r="Q139" i="10"/>
  <c r="P139" i="10"/>
  <c r="O138" i="10"/>
  <c r="M138" i="10"/>
  <c r="N138" i="10"/>
  <c r="S138" i="10"/>
  <c r="Q138" i="10"/>
  <c r="P138" i="10"/>
  <c r="O137" i="10"/>
  <c r="R137" i="10"/>
  <c r="Q137" i="10"/>
  <c r="P137" i="10"/>
  <c r="O136" i="10"/>
  <c r="M136" i="10"/>
  <c r="N136" i="10"/>
  <c r="S136" i="10"/>
  <c r="Q136" i="10"/>
  <c r="P136" i="10"/>
  <c r="O135" i="10"/>
  <c r="M135" i="10"/>
  <c r="N135" i="10"/>
  <c r="S135" i="10"/>
  <c r="Q135" i="10"/>
  <c r="P135" i="10"/>
  <c r="O134" i="10"/>
  <c r="Q134" i="10"/>
  <c r="P134" i="10"/>
  <c r="O133" i="10"/>
  <c r="M133" i="10"/>
  <c r="N133" i="10"/>
  <c r="S133" i="10"/>
  <c r="Q133" i="10"/>
  <c r="P133" i="10"/>
  <c r="O132" i="10"/>
  <c r="R132" i="10"/>
  <c r="Q132" i="10"/>
  <c r="P132" i="10"/>
  <c r="O131" i="10"/>
  <c r="M131" i="10"/>
  <c r="N131" i="10"/>
  <c r="S131" i="10"/>
  <c r="Q131" i="10"/>
  <c r="P131" i="10"/>
  <c r="O130" i="10"/>
  <c r="R130" i="10"/>
  <c r="Q130" i="10"/>
  <c r="P130" i="10"/>
  <c r="O129" i="10"/>
  <c r="R129" i="10"/>
  <c r="Q129" i="10"/>
  <c r="P129" i="10"/>
  <c r="O128" i="10"/>
  <c r="M128" i="10"/>
  <c r="N128" i="10"/>
  <c r="S128" i="10"/>
  <c r="Q128" i="10"/>
  <c r="P128" i="10"/>
  <c r="O127" i="10"/>
  <c r="M127" i="10"/>
  <c r="N127" i="10"/>
  <c r="S127" i="10"/>
  <c r="Q127" i="10"/>
  <c r="P127" i="10"/>
  <c r="O126" i="10"/>
  <c r="Q126" i="10"/>
  <c r="P126" i="10"/>
  <c r="O125" i="10"/>
  <c r="M125" i="10"/>
  <c r="N125" i="10"/>
  <c r="S125" i="10"/>
  <c r="Q125" i="10"/>
  <c r="P125" i="10"/>
  <c r="O124" i="10"/>
  <c r="Q124" i="10"/>
  <c r="P124" i="10"/>
  <c r="O123" i="10"/>
  <c r="R123" i="10"/>
  <c r="Q123" i="10"/>
  <c r="P123" i="10"/>
  <c r="O122" i="10"/>
  <c r="R122" i="10"/>
  <c r="Q122" i="10"/>
  <c r="P122" i="10"/>
  <c r="O121" i="10"/>
  <c r="R121" i="10"/>
  <c r="Q121" i="10"/>
  <c r="P121" i="10"/>
  <c r="O120" i="10"/>
  <c r="M120" i="10"/>
  <c r="N120" i="10"/>
  <c r="S120" i="10"/>
  <c r="Q120" i="10"/>
  <c r="P120" i="10"/>
  <c r="O119" i="10"/>
  <c r="M119" i="10"/>
  <c r="N119" i="10"/>
  <c r="S119" i="10"/>
  <c r="Q119" i="10"/>
  <c r="P119" i="10"/>
  <c r="O118" i="10"/>
  <c r="Q118" i="10"/>
  <c r="P118" i="10"/>
  <c r="O117" i="10"/>
  <c r="M117" i="10"/>
  <c r="N117" i="10"/>
  <c r="S117" i="10"/>
  <c r="Q117" i="10"/>
  <c r="P117" i="10"/>
  <c r="O116" i="10"/>
  <c r="R116" i="10"/>
  <c r="Q116" i="10"/>
  <c r="P116" i="10"/>
  <c r="O115" i="10"/>
  <c r="M115" i="10"/>
  <c r="N115" i="10"/>
  <c r="S115" i="10"/>
  <c r="Q115" i="10"/>
  <c r="P115" i="10"/>
  <c r="O114" i="10"/>
  <c r="R114" i="10"/>
  <c r="Q114" i="10"/>
  <c r="P114" i="10"/>
  <c r="O113" i="10"/>
  <c r="Q113" i="10"/>
  <c r="P113" i="10"/>
  <c r="O112" i="10"/>
  <c r="M112" i="10"/>
  <c r="N112" i="10"/>
  <c r="S112" i="10"/>
  <c r="Q112" i="10"/>
  <c r="P112" i="10"/>
  <c r="O111" i="10"/>
  <c r="M111" i="10"/>
  <c r="N111" i="10"/>
  <c r="S111" i="10"/>
  <c r="Q111" i="10"/>
  <c r="P111" i="10"/>
  <c r="O110" i="10"/>
  <c r="Q110" i="10"/>
  <c r="P110" i="10"/>
  <c r="O109" i="10"/>
  <c r="M109" i="10"/>
  <c r="N109" i="10"/>
  <c r="S109" i="10"/>
  <c r="Q109" i="10"/>
  <c r="P109" i="10"/>
  <c r="O108" i="10"/>
  <c r="R108" i="10"/>
  <c r="Q108" i="10"/>
  <c r="P108" i="10"/>
  <c r="O107" i="10"/>
  <c r="R107" i="10"/>
  <c r="Q107" i="10"/>
  <c r="P107" i="10"/>
  <c r="O106" i="10"/>
  <c r="M106" i="10"/>
  <c r="N106" i="10"/>
  <c r="S106" i="10"/>
  <c r="Q106" i="10"/>
  <c r="P106" i="10"/>
  <c r="O105" i="10"/>
  <c r="Q105" i="10"/>
  <c r="P105" i="10"/>
  <c r="O104" i="10"/>
  <c r="M104" i="10"/>
  <c r="N104" i="10"/>
  <c r="S104" i="10"/>
  <c r="Q104" i="10"/>
  <c r="P104" i="10"/>
  <c r="O103" i="10"/>
  <c r="Q103" i="10"/>
  <c r="P103" i="10"/>
  <c r="O102" i="10"/>
  <c r="M102" i="10"/>
  <c r="N102" i="10"/>
  <c r="S102" i="10"/>
  <c r="Q102" i="10"/>
  <c r="P102" i="10"/>
  <c r="O101" i="10"/>
  <c r="R101" i="10"/>
  <c r="Q101" i="10"/>
  <c r="P101" i="10"/>
  <c r="O100" i="10"/>
  <c r="R100" i="10"/>
  <c r="Q100" i="10"/>
  <c r="P100" i="10"/>
  <c r="O99" i="10"/>
  <c r="M99" i="10"/>
  <c r="N99" i="10"/>
  <c r="S99" i="10"/>
  <c r="Q99" i="10"/>
  <c r="P99" i="10"/>
  <c r="O98" i="10"/>
  <c r="M98" i="10"/>
  <c r="N98" i="10"/>
  <c r="S98" i="10"/>
  <c r="Q98" i="10"/>
  <c r="P98" i="10"/>
  <c r="O97" i="10"/>
  <c r="M97" i="10"/>
  <c r="N97" i="10"/>
  <c r="S97" i="10"/>
  <c r="Q97" i="10"/>
  <c r="P97" i="10"/>
  <c r="O96" i="10"/>
  <c r="Q96" i="10"/>
  <c r="P96" i="10"/>
  <c r="O95" i="10"/>
  <c r="M95" i="10"/>
  <c r="N95" i="10"/>
  <c r="S95" i="10"/>
  <c r="Q95" i="10"/>
  <c r="P95" i="10"/>
  <c r="O94" i="10"/>
  <c r="R94" i="10"/>
  <c r="Q94" i="10"/>
  <c r="P94" i="10"/>
  <c r="O93" i="10"/>
  <c r="R93" i="10"/>
  <c r="Q93" i="10"/>
  <c r="P93" i="10"/>
  <c r="O92" i="10"/>
  <c r="R92" i="10"/>
  <c r="Q92" i="10"/>
  <c r="P92" i="10"/>
  <c r="O91" i="10"/>
  <c r="M91" i="10"/>
  <c r="N91" i="10"/>
  <c r="S91" i="10"/>
  <c r="Q91" i="10"/>
  <c r="P91" i="10"/>
  <c r="Q90" i="10"/>
  <c r="O90" i="10"/>
  <c r="M90" i="10"/>
  <c r="N90" i="10"/>
  <c r="S90" i="10"/>
  <c r="P90" i="10"/>
  <c r="O89" i="10"/>
  <c r="M89" i="10"/>
  <c r="N89" i="10"/>
  <c r="S89" i="10"/>
  <c r="Q89" i="10"/>
  <c r="P89" i="10"/>
  <c r="O88" i="10"/>
  <c r="Q88" i="10"/>
  <c r="P88" i="10"/>
  <c r="O87" i="10"/>
  <c r="M87" i="10"/>
  <c r="N87" i="10"/>
  <c r="S87" i="10"/>
  <c r="Q87" i="10"/>
  <c r="P87" i="10"/>
  <c r="O86" i="10"/>
  <c r="R86" i="10"/>
  <c r="Q86" i="10"/>
  <c r="P86" i="10"/>
  <c r="O85" i="10"/>
  <c r="R85" i="10"/>
  <c r="Q85" i="10"/>
  <c r="P85" i="10"/>
  <c r="O84" i="10"/>
  <c r="Q84" i="10"/>
  <c r="P84" i="10"/>
  <c r="O83" i="10"/>
  <c r="M83" i="10"/>
  <c r="N83" i="10"/>
  <c r="S83" i="10"/>
  <c r="Q83" i="10"/>
  <c r="P83" i="10"/>
  <c r="O82" i="10"/>
  <c r="M82" i="10"/>
  <c r="N82" i="10"/>
  <c r="S82" i="10"/>
  <c r="Q82" i="10"/>
  <c r="P82" i="10"/>
  <c r="O81" i="10"/>
  <c r="M81" i="10"/>
  <c r="N81" i="10"/>
  <c r="S81" i="10"/>
  <c r="Q81" i="10"/>
  <c r="P81" i="10"/>
  <c r="O80" i="10"/>
  <c r="Q80" i="10"/>
  <c r="P80" i="10"/>
  <c r="O79" i="10"/>
  <c r="M79" i="10"/>
  <c r="N79" i="10"/>
  <c r="S79" i="10"/>
  <c r="Q79" i="10"/>
  <c r="P79" i="10"/>
  <c r="O78" i="10"/>
  <c r="R78" i="10"/>
  <c r="Q78" i="10"/>
  <c r="P78" i="10"/>
  <c r="O77" i="10"/>
  <c r="Q77" i="10"/>
  <c r="P77" i="10"/>
  <c r="O76" i="10"/>
  <c r="R76" i="10"/>
  <c r="Q76" i="10"/>
  <c r="P76" i="10"/>
  <c r="O75" i="10"/>
  <c r="M75" i="10"/>
  <c r="N75" i="10"/>
  <c r="S75" i="10"/>
  <c r="Q75" i="10"/>
  <c r="P75" i="10"/>
  <c r="O74" i="10"/>
  <c r="M74" i="10"/>
  <c r="N74" i="10"/>
  <c r="S74" i="10"/>
  <c r="Q74" i="10"/>
  <c r="P74" i="10"/>
  <c r="O73" i="10"/>
  <c r="M73" i="10"/>
  <c r="N73" i="10"/>
  <c r="S73" i="10"/>
  <c r="Q73" i="10"/>
  <c r="P73" i="10"/>
  <c r="O72" i="10"/>
  <c r="Q72" i="10"/>
  <c r="P72" i="10"/>
  <c r="O71" i="10"/>
  <c r="M71" i="10"/>
  <c r="N71" i="10"/>
  <c r="S71" i="10"/>
  <c r="Q71" i="10"/>
  <c r="P71" i="10"/>
  <c r="O70" i="10"/>
  <c r="R70" i="10"/>
  <c r="Q70" i="10"/>
  <c r="P70" i="10"/>
  <c r="O69" i="10"/>
  <c r="Q69" i="10"/>
  <c r="P69" i="10"/>
  <c r="O68" i="10"/>
  <c r="R68" i="10"/>
  <c r="Q68" i="10"/>
  <c r="P68" i="10"/>
  <c r="O67" i="10"/>
  <c r="M67" i="10"/>
  <c r="N67" i="10"/>
  <c r="S67" i="10"/>
  <c r="Q67" i="10"/>
  <c r="P67" i="10"/>
  <c r="O66" i="10"/>
  <c r="M66" i="10"/>
  <c r="N66" i="10"/>
  <c r="S66" i="10"/>
  <c r="Q66" i="10"/>
  <c r="P66" i="10"/>
  <c r="O65" i="10"/>
  <c r="M65" i="10"/>
  <c r="N65" i="10"/>
  <c r="S65" i="10"/>
  <c r="Q65" i="10"/>
  <c r="P65" i="10"/>
  <c r="O64" i="10"/>
  <c r="Q64" i="10"/>
  <c r="P64" i="10"/>
  <c r="O63" i="10"/>
  <c r="M63" i="10"/>
  <c r="N63" i="10"/>
  <c r="S63" i="10"/>
  <c r="Q63" i="10"/>
  <c r="P63" i="10"/>
  <c r="O62" i="10"/>
  <c r="R62" i="10"/>
  <c r="Q62" i="10"/>
  <c r="P62" i="10"/>
  <c r="O61" i="10"/>
  <c r="M61" i="10"/>
  <c r="N61" i="10"/>
  <c r="S61" i="10"/>
  <c r="Q61" i="10"/>
  <c r="P61" i="10"/>
  <c r="O60" i="10"/>
  <c r="R60" i="10"/>
  <c r="Q60" i="10"/>
  <c r="P60" i="10"/>
  <c r="O59" i="10"/>
  <c r="Q59" i="10"/>
  <c r="P59" i="10"/>
  <c r="O58" i="10"/>
  <c r="M58" i="10"/>
  <c r="N58" i="10"/>
  <c r="S58" i="10"/>
  <c r="Q58" i="10"/>
  <c r="P58" i="10"/>
  <c r="O57" i="10"/>
  <c r="Q57" i="10"/>
  <c r="P57" i="10"/>
  <c r="O56" i="10"/>
  <c r="Q56" i="10"/>
  <c r="P56" i="10"/>
  <c r="O55" i="10"/>
  <c r="M55" i="10"/>
  <c r="N55" i="10"/>
  <c r="S55" i="10"/>
  <c r="Q55" i="10"/>
  <c r="P55" i="10"/>
  <c r="O54" i="10"/>
  <c r="R54" i="10"/>
  <c r="Q54" i="10"/>
  <c r="P54" i="10"/>
  <c r="O53" i="10"/>
  <c r="R53" i="10"/>
  <c r="Q53" i="10"/>
  <c r="P53" i="10"/>
  <c r="O52" i="10"/>
  <c r="M52" i="10"/>
  <c r="N52" i="10"/>
  <c r="S52" i="10"/>
  <c r="Q52" i="10"/>
  <c r="P52" i="10"/>
  <c r="O51" i="10"/>
  <c r="M51" i="10"/>
  <c r="N51" i="10"/>
  <c r="S51" i="10"/>
  <c r="Q51" i="10"/>
  <c r="P51" i="10"/>
  <c r="O50" i="10"/>
  <c r="Q50" i="10"/>
  <c r="P50" i="10"/>
  <c r="O49" i="10"/>
  <c r="Q49" i="10"/>
  <c r="P49" i="10"/>
  <c r="O48" i="10"/>
  <c r="Q48" i="10"/>
  <c r="P48" i="10"/>
  <c r="O47" i="10"/>
  <c r="M47" i="10"/>
  <c r="N47" i="10"/>
  <c r="S47" i="10"/>
  <c r="Q47" i="10"/>
  <c r="P47" i="10"/>
  <c r="O46" i="10"/>
  <c r="R46" i="10"/>
  <c r="Q46" i="10"/>
  <c r="P46" i="10"/>
  <c r="O45" i="10"/>
  <c r="M45" i="10"/>
  <c r="N45" i="10"/>
  <c r="S45" i="10"/>
  <c r="Q45" i="10"/>
  <c r="P45" i="10"/>
  <c r="O44" i="10"/>
  <c r="M44" i="10"/>
  <c r="N44" i="10"/>
  <c r="S44" i="10"/>
  <c r="Q44" i="10"/>
  <c r="P44" i="10"/>
  <c r="O43" i="10"/>
  <c r="M43" i="10"/>
  <c r="N43" i="10"/>
  <c r="S43" i="10"/>
  <c r="Q43" i="10"/>
  <c r="P43" i="10"/>
  <c r="O42" i="10"/>
  <c r="M42" i="10"/>
  <c r="N42" i="10"/>
  <c r="S42" i="10"/>
  <c r="Q42" i="10"/>
  <c r="P42" i="10"/>
  <c r="O41" i="10"/>
  <c r="R41" i="10"/>
  <c r="Q41" i="10"/>
  <c r="P41" i="10"/>
  <c r="O40" i="10"/>
  <c r="M40" i="10"/>
  <c r="N40" i="10"/>
  <c r="S40" i="10"/>
  <c r="Q40" i="10"/>
  <c r="P40" i="10"/>
  <c r="O39" i="10"/>
  <c r="Q39" i="10"/>
  <c r="P39" i="10"/>
  <c r="O38" i="10"/>
  <c r="R38" i="10"/>
  <c r="Q38" i="10"/>
  <c r="P38" i="10"/>
  <c r="O37" i="10"/>
  <c r="M37" i="10"/>
  <c r="N37" i="10"/>
  <c r="S37" i="10"/>
  <c r="Q37" i="10"/>
  <c r="P37" i="10"/>
  <c r="O36" i="10"/>
  <c r="M36" i="10"/>
  <c r="N36" i="10"/>
  <c r="S36" i="10"/>
  <c r="Q36" i="10"/>
  <c r="P36" i="10"/>
  <c r="O35" i="10"/>
  <c r="M35" i="10"/>
  <c r="N35" i="10"/>
  <c r="S35" i="10"/>
  <c r="Q35" i="10"/>
  <c r="P35" i="10"/>
  <c r="O34" i="10"/>
  <c r="M34" i="10"/>
  <c r="N34" i="10"/>
  <c r="S34" i="10"/>
  <c r="Q34" i="10"/>
  <c r="P34" i="10"/>
  <c r="O33" i="10"/>
  <c r="M33" i="10"/>
  <c r="N33" i="10"/>
  <c r="S33" i="10"/>
  <c r="Q33" i="10"/>
  <c r="P33" i="10"/>
  <c r="O32" i="10"/>
  <c r="R32" i="10"/>
  <c r="Q32" i="10"/>
  <c r="P32" i="10"/>
  <c r="O31" i="10"/>
  <c r="Q31" i="10"/>
  <c r="P31" i="10"/>
  <c r="O30" i="10"/>
  <c r="M30" i="10"/>
  <c r="N30" i="10"/>
  <c r="S30" i="10"/>
  <c r="Q30" i="10"/>
  <c r="P30" i="10"/>
  <c r="O29" i="10"/>
  <c r="R29" i="10"/>
  <c r="Q29" i="10"/>
  <c r="P29" i="10"/>
  <c r="O28" i="10"/>
  <c r="R28" i="10"/>
  <c r="Q28" i="10"/>
  <c r="P28" i="10"/>
  <c r="O27" i="10"/>
  <c r="M27" i="10"/>
  <c r="N27" i="10"/>
  <c r="S27" i="10"/>
  <c r="Q27" i="10"/>
  <c r="P27" i="10"/>
  <c r="O26" i="10"/>
  <c r="R26" i="10"/>
  <c r="Q26" i="10"/>
  <c r="P26" i="10"/>
  <c r="O25" i="10"/>
  <c r="M25" i="10"/>
  <c r="N25" i="10"/>
  <c r="S25" i="10"/>
  <c r="Q25" i="10"/>
  <c r="P25" i="10"/>
  <c r="O24" i="10"/>
  <c r="R24" i="10"/>
  <c r="Q24" i="10"/>
  <c r="P24" i="10"/>
  <c r="O23" i="10"/>
  <c r="Q23" i="10"/>
  <c r="P23" i="10"/>
  <c r="O22" i="10"/>
  <c r="M22" i="10"/>
  <c r="N22" i="10"/>
  <c r="S22" i="10"/>
  <c r="Q22" i="10"/>
  <c r="P22" i="10"/>
  <c r="O21" i="10"/>
  <c r="R21" i="10"/>
  <c r="Q21" i="10"/>
  <c r="P21" i="10"/>
  <c r="O20" i="10"/>
  <c r="R20" i="10"/>
  <c r="Q20" i="10"/>
  <c r="P20" i="10"/>
  <c r="O19" i="10"/>
  <c r="M19" i="10"/>
  <c r="N19" i="10"/>
  <c r="S19" i="10"/>
  <c r="Q19" i="10"/>
  <c r="P19" i="10"/>
  <c r="O18" i="10"/>
  <c r="M18" i="10"/>
  <c r="N18" i="10"/>
  <c r="S18" i="10"/>
  <c r="Q18" i="10"/>
  <c r="P18" i="10"/>
  <c r="O17" i="10"/>
  <c r="M17" i="10"/>
  <c r="N17" i="10"/>
  <c r="S17" i="10"/>
  <c r="Q17" i="10"/>
  <c r="P17" i="10"/>
  <c r="O16" i="10"/>
  <c r="R16" i="10"/>
  <c r="Q16" i="10"/>
  <c r="P16" i="10"/>
  <c r="O15" i="10"/>
  <c r="Q15" i="10"/>
  <c r="P15" i="10"/>
  <c r="O14" i="10"/>
  <c r="M14" i="10"/>
  <c r="N14" i="10"/>
  <c r="S14" i="10"/>
  <c r="Q14" i="10"/>
  <c r="P14" i="10"/>
  <c r="O13" i="10"/>
  <c r="R13" i="10"/>
  <c r="Q13" i="10"/>
  <c r="P13" i="10"/>
  <c r="O12" i="10"/>
  <c r="R12" i="10"/>
  <c r="Q12" i="10"/>
  <c r="P12" i="10"/>
  <c r="O11" i="10"/>
  <c r="M11" i="10"/>
  <c r="N11" i="10"/>
  <c r="S11" i="10"/>
  <c r="Q11" i="10"/>
  <c r="P11" i="10"/>
  <c r="O10" i="10"/>
  <c r="R10" i="10"/>
  <c r="Q10" i="10"/>
  <c r="P10" i="10"/>
  <c r="O9" i="10"/>
  <c r="M9" i="10"/>
  <c r="N9" i="10"/>
  <c r="S9" i="10"/>
  <c r="Q9" i="10"/>
  <c r="P9" i="10"/>
  <c r="O8" i="10"/>
  <c r="R8" i="10"/>
  <c r="Q8" i="10"/>
  <c r="P8" i="10"/>
  <c r="O7" i="10"/>
  <c r="Q7" i="10"/>
  <c r="P7" i="10"/>
  <c r="O6" i="10"/>
  <c r="M6" i="10"/>
  <c r="N6" i="10"/>
  <c r="S6" i="10"/>
  <c r="Q6" i="10"/>
  <c r="P6" i="10"/>
  <c r="O5" i="10"/>
  <c r="R5" i="10"/>
  <c r="Q5" i="10"/>
  <c r="P5" i="10"/>
  <c r="O4" i="10"/>
  <c r="R4" i="10"/>
  <c r="Q4" i="10"/>
  <c r="P4" i="10"/>
  <c r="O3" i="10"/>
  <c r="M3" i="10"/>
  <c r="N3" i="10"/>
  <c r="S3" i="10"/>
  <c r="Q3" i="10"/>
  <c r="P3" i="10"/>
  <c r="O2" i="10"/>
  <c r="M2" i="10"/>
  <c r="N2" i="10"/>
  <c r="S2" i="10"/>
  <c r="Q2" i="10"/>
  <c r="P2" i="10"/>
  <c r="M93" i="10"/>
  <c r="N93" i="10"/>
  <c r="S93" i="10"/>
  <c r="R43" i="10"/>
  <c r="R18" i="10"/>
  <c r="R30" i="10"/>
  <c r="M164" i="10"/>
  <c r="N164" i="10"/>
  <c r="S164" i="10"/>
  <c r="W164" i="10"/>
  <c r="X164" i="10"/>
  <c r="R37" i="10"/>
  <c r="M4" i="10"/>
  <c r="N4" i="10"/>
  <c r="S4" i="10"/>
  <c r="W4" i="10"/>
  <c r="X4" i="10"/>
  <c r="D31" i="5"/>
  <c r="W31" i="5" s="1"/>
  <c r="M123" i="10"/>
  <c r="N123" i="10"/>
  <c r="S123" i="10"/>
  <c r="W123" i="10"/>
  <c r="X123" i="10"/>
  <c r="D150" i="5"/>
  <c r="V150" i="5" s="1"/>
  <c r="M10" i="10"/>
  <c r="N10" i="10"/>
  <c r="S10" i="10"/>
  <c r="R66" i="10"/>
  <c r="M108" i="10"/>
  <c r="N108" i="10"/>
  <c r="S108" i="10"/>
  <c r="R184" i="10"/>
  <c r="R131" i="10"/>
  <c r="W131" i="10"/>
  <c r="X131" i="10"/>
  <c r="D158" i="5"/>
  <c r="W158" i="5" s="1"/>
  <c r="R33" i="10"/>
  <c r="R160" i="10"/>
  <c r="W160" i="10"/>
  <c r="X160" i="10"/>
  <c r="R83" i="10"/>
  <c r="W83" i="10"/>
  <c r="X83" i="10"/>
  <c r="R99" i="10"/>
  <c r="W99" i="10"/>
  <c r="X99" i="10"/>
  <c r="R120" i="10"/>
  <c r="W120" i="10"/>
  <c r="X120" i="10"/>
  <c r="D147" i="5"/>
  <c r="W147" i="5" s="1"/>
  <c r="M161" i="10"/>
  <c r="N161" i="10"/>
  <c r="S161" i="10"/>
  <c r="R171" i="10"/>
  <c r="M186" i="10"/>
  <c r="N186" i="10"/>
  <c r="S186" i="10"/>
  <c r="W186" i="10"/>
  <c r="X186" i="10"/>
  <c r="D213" i="5"/>
  <c r="W213" i="5" s="1"/>
  <c r="R2" i="10"/>
  <c r="W2" i="10"/>
  <c r="X2" i="10"/>
  <c r="R98" i="10"/>
  <c r="W98" i="10"/>
  <c r="X98" i="10"/>
  <c r="D125" i="5"/>
  <c r="V125" i="5" s="1"/>
  <c r="M101" i="10"/>
  <c r="N101" i="10"/>
  <c r="S101" i="10"/>
  <c r="W101" i="10"/>
  <c r="X101" i="10"/>
  <c r="R51" i="10"/>
  <c r="R75" i="10"/>
  <c r="W75" i="10"/>
  <c r="X75" i="10"/>
  <c r="M169" i="10"/>
  <c r="N169" i="10"/>
  <c r="S169" i="10"/>
  <c r="W169" i="10"/>
  <c r="X169" i="10"/>
  <c r="M178" i="10"/>
  <c r="N178" i="10"/>
  <c r="S178" i="10"/>
  <c r="W178" i="10"/>
  <c r="X178" i="10"/>
  <c r="W184" i="10"/>
  <c r="X184" i="10"/>
  <c r="D211" i="5"/>
  <c r="W211" i="5" s="1"/>
  <c r="M28" i="10"/>
  <c r="N28" i="10"/>
  <c r="S28" i="10"/>
  <c r="W28" i="10"/>
  <c r="X28" i="10"/>
  <c r="D55" i="5"/>
  <c r="W55" i="5" s="1"/>
  <c r="R67" i="10"/>
  <c r="W67" i="10"/>
  <c r="X67" i="10"/>
  <c r="R112" i="10"/>
  <c r="W112" i="10"/>
  <c r="X112" i="10"/>
  <c r="D139" i="5"/>
  <c r="V139" i="5" s="1"/>
  <c r="R139" i="10"/>
  <c r="W139" i="10"/>
  <c r="X139" i="10"/>
  <c r="M26" i="10"/>
  <c r="N26" i="10"/>
  <c r="S26" i="10"/>
  <c r="W43" i="10"/>
  <c r="X43" i="10"/>
  <c r="D70" i="5"/>
  <c r="V70" i="5" s="1"/>
  <c r="M85" i="10"/>
  <c r="N85" i="10"/>
  <c r="S85" i="10"/>
  <c r="W85" i="10"/>
  <c r="X85" i="10"/>
  <c r="M122" i="10"/>
  <c r="N122" i="10"/>
  <c r="S122" i="10"/>
  <c r="W122" i="10"/>
  <c r="X122" i="10"/>
  <c r="D149" i="5"/>
  <c r="W149" i="5" s="1"/>
  <c r="R152" i="10"/>
  <c r="W152" i="10"/>
  <c r="X152" i="10"/>
  <c r="R36" i="10"/>
  <c r="W36" i="10"/>
  <c r="X36" i="10"/>
  <c r="R128" i="10"/>
  <c r="W128" i="10"/>
  <c r="X128" i="10"/>
  <c r="R58" i="10"/>
  <c r="W58" i="10"/>
  <c r="X58" i="10"/>
  <c r="M179" i="10"/>
  <c r="N179" i="10"/>
  <c r="S179" i="10"/>
  <c r="W179" i="10"/>
  <c r="X179" i="10"/>
  <c r="R91" i="10"/>
  <c r="W91" i="10"/>
  <c r="X91" i="10"/>
  <c r="D118" i="5"/>
  <c r="V118" i="5" s="1"/>
  <c r="R115" i="10"/>
  <c r="W115" i="10"/>
  <c r="X115" i="10"/>
  <c r="D142" i="5"/>
  <c r="V142" i="5" s="1"/>
  <c r="R34" i="10"/>
  <c r="W34" i="10"/>
  <c r="X34" i="10"/>
  <c r="D61" i="5"/>
  <c r="U61" i="5" s="1"/>
  <c r="R42" i="10"/>
  <c r="M130" i="10"/>
  <c r="N130" i="10"/>
  <c r="S130" i="10"/>
  <c r="W130" i="10"/>
  <c r="X130" i="10"/>
  <c r="M132" i="10"/>
  <c r="N132" i="10"/>
  <c r="S132" i="10"/>
  <c r="W132" i="10"/>
  <c r="X132" i="10"/>
  <c r="D159" i="5"/>
  <c r="R6" i="10"/>
  <c r="W6" i="10"/>
  <c r="X6" i="10"/>
  <c r="R14" i="10"/>
  <c r="W14" i="10"/>
  <c r="X14" i="10"/>
  <c r="D41" i="5"/>
  <c r="R22" i="10"/>
  <c r="W22" i="10"/>
  <c r="X22" i="10"/>
  <c r="D49" i="5"/>
  <c r="W49" i="5" s="1"/>
  <c r="M53" i="10"/>
  <c r="N53" i="10"/>
  <c r="S53" i="10"/>
  <c r="W53" i="10"/>
  <c r="X53" i="10"/>
  <c r="M60" i="10"/>
  <c r="N60" i="10"/>
  <c r="S60" i="10"/>
  <c r="W60" i="10"/>
  <c r="X60" i="10"/>
  <c r="D87" i="5"/>
  <c r="W87" i="5" s="1"/>
  <c r="R61" i="10"/>
  <c r="W61" i="10"/>
  <c r="X61" i="10"/>
  <c r="D88" i="5"/>
  <c r="M12" i="10"/>
  <c r="N12" i="10"/>
  <c r="S12" i="10"/>
  <c r="W12" i="10"/>
  <c r="X12" i="10"/>
  <c r="D39" i="5"/>
  <c r="W39" i="5" s="1"/>
  <c r="M20" i="10"/>
  <c r="N20" i="10"/>
  <c r="S20" i="10"/>
  <c r="W20" i="10"/>
  <c r="X20" i="10"/>
  <c r="M116" i="10"/>
  <c r="N116" i="10"/>
  <c r="S116" i="10"/>
  <c r="W116" i="10"/>
  <c r="X116" i="10"/>
  <c r="D143" i="5"/>
  <c r="U143" i="5" s="1"/>
  <c r="M163" i="10"/>
  <c r="N163" i="10"/>
  <c r="S163" i="10"/>
  <c r="W163" i="10"/>
  <c r="X163" i="10"/>
  <c r="M177" i="10"/>
  <c r="N177" i="10"/>
  <c r="S177" i="10"/>
  <c r="W177" i="10"/>
  <c r="X177" i="10"/>
  <c r="M188" i="10"/>
  <c r="N188" i="10"/>
  <c r="S188" i="10"/>
  <c r="W188" i="10"/>
  <c r="X188" i="10"/>
  <c r="D215" i="5"/>
  <c r="U215" i="5" s="1"/>
  <c r="R103" i="10"/>
  <c r="M103" i="10"/>
  <c r="N103" i="10"/>
  <c r="S103" i="10"/>
  <c r="R69" i="10"/>
  <c r="M69" i="10"/>
  <c r="N69" i="10"/>
  <c r="S69" i="10"/>
  <c r="R113" i="10"/>
  <c r="M113" i="10"/>
  <c r="N113" i="10"/>
  <c r="S113" i="10"/>
  <c r="M145" i="10"/>
  <c r="N145" i="10"/>
  <c r="S145" i="10"/>
  <c r="W145" i="10"/>
  <c r="X145" i="10"/>
  <c r="D172" i="5"/>
  <c r="W172" i="5" s="1"/>
  <c r="M8" i="10"/>
  <c r="N8" i="10"/>
  <c r="S8" i="10"/>
  <c r="W8" i="10"/>
  <c r="X8" i="10"/>
  <c r="D35" i="5"/>
  <c r="V35" i="5" s="1"/>
  <c r="R9" i="10"/>
  <c r="W9" i="10"/>
  <c r="X9" i="10"/>
  <c r="D36" i="5"/>
  <c r="W36" i="5" s="1"/>
  <c r="M24" i="10"/>
  <c r="N24" i="10"/>
  <c r="S24" i="10"/>
  <c r="W24" i="10"/>
  <c r="X24" i="10"/>
  <c r="R25" i="10"/>
  <c r="W25" i="10"/>
  <c r="X25" i="10"/>
  <c r="D52" i="5"/>
  <c r="W52" i="5" s="1"/>
  <c r="R44" i="10"/>
  <c r="W44" i="10"/>
  <c r="X44" i="10"/>
  <c r="M144" i="10"/>
  <c r="N144" i="10"/>
  <c r="S144" i="10"/>
  <c r="R144" i="10"/>
  <c r="R147" i="10"/>
  <c r="M147" i="10"/>
  <c r="N147" i="10"/>
  <c r="S147" i="10"/>
  <c r="M168" i="10"/>
  <c r="N168" i="10"/>
  <c r="S168" i="10"/>
  <c r="R168" i="10"/>
  <c r="M31" i="10"/>
  <c r="N31" i="10"/>
  <c r="S31" i="10"/>
  <c r="R31" i="10"/>
  <c r="R156" i="10"/>
  <c r="M156" i="10"/>
  <c r="N156" i="10"/>
  <c r="S156" i="10"/>
  <c r="M50" i="10"/>
  <c r="N50" i="10"/>
  <c r="S50" i="10"/>
  <c r="R50" i="10"/>
  <c r="R124" i="10"/>
  <c r="M124" i="10"/>
  <c r="N124" i="10"/>
  <c r="S124" i="10"/>
  <c r="R185" i="10"/>
  <c r="M185" i="10"/>
  <c r="N185" i="10"/>
  <c r="S185" i="10"/>
  <c r="M32" i="10"/>
  <c r="N32" i="10"/>
  <c r="S32" i="10"/>
  <c r="W32" i="10"/>
  <c r="X32" i="10"/>
  <c r="R59" i="10"/>
  <c r="M59" i="10"/>
  <c r="N59" i="10"/>
  <c r="S59" i="10"/>
  <c r="W93" i="10"/>
  <c r="X93" i="10"/>
  <c r="D120" i="5"/>
  <c r="R146" i="10"/>
  <c r="M146" i="10"/>
  <c r="N146" i="10"/>
  <c r="S146" i="10"/>
  <c r="R77" i="10"/>
  <c r="M77" i="10"/>
  <c r="N77" i="10"/>
  <c r="S77" i="10"/>
  <c r="R148" i="10"/>
  <c r="M148" i="10"/>
  <c r="N148" i="10"/>
  <c r="S148" i="10"/>
  <c r="M7" i="10"/>
  <c r="N7" i="10"/>
  <c r="S7" i="10"/>
  <c r="R7" i="10"/>
  <c r="M23" i="10"/>
  <c r="N23" i="10"/>
  <c r="S23" i="10"/>
  <c r="R23" i="10"/>
  <c r="W37" i="10"/>
  <c r="X37" i="10"/>
  <c r="M16" i="10"/>
  <c r="N16" i="10"/>
  <c r="S16" i="10"/>
  <c r="W16" i="10"/>
  <c r="X16" i="10"/>
  <c r="R17" i="10"/>
  <c r="M107" i="10"/>
  <c r="N107" i="10"/>
  <c r="S107" i="10"/>
  <c r="W107" i="10"/>
  <c r="X107" i="10"/>
  <c r="M114" i="10"/>
  <c r="N114" i="10"/>
  <c r="S114" i="10"/>
  <c r="W114" i="10"/>
  <c r="X114" i="10"/>
  <c r="D141" i="5"/>
  <c r="V141" i="5" s="1"/>
  <c r="R155" i="10"/>
  <c r="M155" i="10"/>
  <c r="N155" i="10"/>
  <c r="S155" i="10"/>
  <c r="M15" i="10"/>
  <c r="N15" i="10"/>
  <c r="S15" i="10"/>
  <c r="R15" i="10"/>
  <c r="R84" i="10"/>
  <c r="M84" i="10"/>
  <c r="N84" i="10"/>
  <c r="S84" i="10"/>
  <c r="R90" i="10"/>
  <c r="W90" i="10"/>
  <c r="X90" i="10"/>
  <c r="R154" i="10"/>
  <c r="M154" i="10"/>
  <c r="N154" i="10"/>
  <c r="S154" i="10"/>
  <c r="R74" i="10"/>
  <c r="W74" i="10"/>
  <c r="X74" i="10"/>
  <c r="D102" i="5"/>
  <c r="W102" i="5" s="1"/>
  <c r="R82" i="10"/>
  <c r="W82" i="10"/>
  <c r="X82" i="10"/>
  <c r="R136" i="10"/>
  <c r="W136" i="10"/>
  <c r="X136" i="10"/>
  <c r="R138" i="10"/>
  <c r="W138" i="10"/>
  <c r="X138" i="10"/>
  <c r="D165" i="5"/>
  <c r="V165" i="5" s="1"/>
  <c r="W161" i="10"/>
  <c r="X161" i="10"/>
  <c r="D188" i="5"/>
  <c r="U188" i="5" s="1"/>
  <c r="R170" i="10"/>
  <c r="W170" i="10"/>
  <c r="X170" i="10"/>
  <c r="R45" i="10"/>
  <c r="W45" i="10"/>
  <c r="X45" i="10"/>
  <c r="D72" i="5"/>
  <c r="W51" i="10"/>
  <c r="X51" i="10"/>
  <c r="R52" i="10"/>
  <c r="W52" i="10"/>
  <c r="X52" i="10"/>
  <c r="D79" i="5"/>
  <c r="W79" i="5" s="1"/>
  <c r="W30" i="10"/>
  <c r="X30" i="10"/>
  <c r="D57" i="5"/>
  <c r="R106" i="10"/>
  <c r="W106" i="10"/>
  <c r="X106" i="10"/>
  <c r="R176" i="10"/>
  <c r="W176" i="10"/>
  <c r="X176" i="10"/>
  <c r="D203" i="5"/>
  <c r="W203" i="5" s="1"/>
  <c r="M92" i="10"/>
  <c r="N92" i="10"/>
  <c r="S92" i="10"/>
  <c r="W92" i="10"/>
  <c r="X92" i="10"/>
  <c r="D119" i="5"/>
  <c r="W119" i="5" s="1"/>
  <c r="M100" i="10"/>
  <c r="N100" i="10"/>
  <c r="S100" i="10"/>
  <c r="W100" i="10"/>
  <c r="X100" i="10"/>
  <c r="M153" i="10"/>
  <c r="N153" i="10"/>
  <c r="S153" i="10"/>
  <c r="W153" i="10"/>
  <c r="X153" i="10"/>
  <c r="M140" i="10"/>
  <c r="N140" i="10"/>
  <c r="S140" i="10"/>
  <c r="W140" i="10"/>
  <c r="X140" i="10"/>
  <c r="M172" i="10"/>
  <c r="N172" i="10"/>
  <c r="S172" i="10"/>
  <c r="W172" i="10"/>
  <c r="X172" i="10"/>
  <c r="M41" i="10"/>
  <c r="N41" i="10"/>
  <c r="S41" i="10"/>
  <c r="W41" i="10"/>
  <c r="X41" i="10"/>
  <c r="W42" i="10"/>
  <c r="X42" i="10"/>
  <c r="D69" i="5"/>
  <c r="V69" i="5" s="1"/>
  <c r="M68" i="10"/>
  <c r="N68" i="10"/>
  <c r="S68" i="10"/>
  <c r="W68" i="10"/>
  <c r="X68" i="10"/>
  <c r="M76" i="10"/>
  <c r="N76" i="10"/>
  <c r="S76" i="10"/>
  <c r="W76" i="10"/>
  <c r="X76" i="10"/>
  <c r="W108" i="10"/>
  <c r="X108" i="10"/>
  <c r="M137" i="10"/>
  <c r="N137" i="10"/>
  <c r="S137" i="10"/>
  <c r="W137" i="10"/>
  <c r="X137" i="10"/>
  <c r="D164" i="5"/>
  <c r="V164" i="5" s="1"/>
  <c r="W17" i="10"/>
  <c r="X17" i="10"/>
  <c r="D44" i="5"/>
  <c r="W44" i="5" s="1"/>
  <c r="W33" i="10"/>
  <c r="X33" i="10"/>
  <c r="D60" i="5"/>
  <c r="U60" i="5" s="1"/>
  <c r="W10" i="10"/>
  <c r="X10" i="10"/>
  <c r="D37" i="5"/>
  <c r="U37" i="5" s="1"/>
  <c r="W18" i="10"/>
  <c r="X18" i="10"/>
  <c r="D45" i="5"/>
  <c r="W26" i="10"/>
  <c r="X26" i="10"/>
  <c r="D53" i="5"/>
  <c r="W53" i="5" s="1"/>
  <c r="R96" i="10"/>
  <c r="M96" i="10"/>
  <c r="N96" i="10"/>
  <c r="S96" i="10"/>
  <c r="M5" i="10"/>
  <c r="N5" i="10"/>
  <c r="S5" i="10"/>
  <c r="W5" i="10"/>
  <c r="X5" i="10"/>
  <c r="D32" i="5"/>
  <c r="M13" i="10"/>
  <c r="N13" i="10"/>
  <c r="S13" i="10"/>
  <c r="W13" i="10"/>
  <c r="X13" i="10"/>
  <c r="D40" i="5"/>
  <c r="M21" i="10"/>
  <c r="N21" i="10"/>
  <c r="S21" i="10"/>
  <c r="W21" i="10"/>
  <c r="X21" i="10"/>
  <c r="M29" i="10"/>
  <c r="N29" i="10"/>
  <c r="S29" i="10"/>
  <c r="W29" i="10"/>
  <c r="X29" i="10"/>
  <c r="D56" i="5"/>
  <c r="V56" i="5" s="1"/>
  <c r="R72" i="10"/>
  <c r="M72" i="10"/>
  <c r="N72" i="10"/>
  <c r="S72" i="10"/>
  <c r="R35" i="10"/>
  <c r="W35" i="10"/>
  <c r="X35" i="10"/>
  <c r="D62" i="5"/>
  <c r="W62" i="5" s="1"/>
  <c r="M38" i="10"/>
  <c r="N38" i="10"/>
  <c r="S38" i="10"/>
  <c r="W38" i="10"/>
  <c r="X38" i="10"/>
  <c r="M49" i="10"/>
  <c r="N49" i="10"/>
  <c r="S49" i="10"/>
  <c r="R49" i="10"/>
  <c r="M57" i="10"/>
  <c r="N57" i="10"/>
  <c r="S57" i="10"/>
  <c r="R57" i="10"/>
  <c r="R80" i="10"/>
  <c r="M80" i="10"/>
  <c r="N80" i="10"/>
  <c r="S80" i="10"/>
  <c r="R3" i="10"/>
  <c r="W3" i="10"/>
  <c r="X3" i="10"/>
  <c r="D30" i="5"/>
  <c r="W30" i="5" s="1"/>
  <c r="R11" i="10"/>
  <c r="W11" i="10"/>
  <c r="X11" i="10"/>
  <c r="D38" i="5"/>
  <c r="U38" i="5" s="1"/>
  <c r="R19" i="10"/>
  <c r="W19" i="10"/>
  <c r="X19" i="10"/>
  <c r="D46" i="5"/>
  <c r="U46" i="5" s="1"/>
  <c r="R27" i="10"/>
  <c r="W27" i="10"/>
  <c r="X27" i="10"/>
  <c r="D54" i="5"/>
  <c r="V54" i="5" s="1"/>
  <c r="R40" i="10"/>
  <c r="W40" i="10"/>
  <c r="X40" i="10"/>
  <c r="D67" i="5"/>
  <c r="W67" i="5" s="1"/>
  <c r="W66" i="10"/>
  <c r="X66" i="10"/>
  <c r="D93" i="5"/>
  <c r="W93" i="5" s="1"/>
  <c r="R48" i="10"/>
  <c r="M48" i="10"/>
  <c r="N48" i="10"/>
  <c r="S48" i="10"/>
  <c r="R56" i="10"/>
  <c r="M56" i="10"/>
  <c r="N56" i="10"/>
  <c r="S56" i="10"/>
  <c r="R88" i="10"/>
  <c r="M88" i="10"/>
  <c r="N88" i="10"/>
  <c r="S88" i="10"/>
  <c r="M39" i="10"/>
  <c r="N39" i="10"/>
  <c r="S39" i="10"/>
  <c r="R39" i="10"/>
  <c r="R64" i="10"/>
  <c r="M64" i="10"/>
  <c r="N64" i="10"/>
  <c r="S64" i="10"/>
  <c r="R105" i="10"/>
  <c r="M105" i="10"/>
  <c r="N105" i="10"/>
  <c r="S105" i="10"/>
  <c r="M46" i="10"/>
  <c r="N46" i="10"/>
  <c r="S46" i="10"/>
  <c r="W46" i="10"/>
  <c r="X46" i="10"/>
  <c r="D73" i="5"/>
  <c r="V73" i="5" s="1"/>
  <c r="M54" i="10"/>
  <c r="N54" i="10"/>
  <c r="S54" i="10"/>
  <c r="W54" i="10"/>
  <c r="X54" i="10"/>
  <c r="M62" i="10"/>
  <c r="N62" i="10"/>
  <c r="S62" i="10"/>
  <c r="W62" i="10"/>
  <c r="X62" i="10"/>
  <c r="D89" i="5"/>
  <c r="W89" i="5" s="1"/>
  <c r="M70" i="10"/>
  <c r="N70" i="10"/>
  <c r="S70" i="10"/>
  <c r="W70" i="10"/>
  <c r="X70" i="10"/>
  <c r="M78" i="10"/>
  <c r="N78" i="10"/>
  <c r="S78" i="10"/>
  <c r="W78" i="10"/>
  <c r="X78" i="10"/>
  <c r="M86" i="10"/>
  <c r="N86" i="10"/>
  <c r="S86" i="10"/>
  <c r="W86" i="10"/>
  <c r="X86" i="10"/>
  <c r="M94" i="10"/>
  <c r="N94" i="10"/>
  <c r="S94" i="10"/>
  <c r="W94" i="10"/>
  <c r="X94" i="10"/>
  <c r="W162" i="10"/>
  <c r="X162" i="10"/>
  <c r="D189" i="5"/>
  <c r="V189" i="5" s="1"/>
  <c r="R174" i="10"/>
  <c r="M174" i="10"/>
  <c r="N174" i="10"/>
  <c r="S174" i="10"/>
  <c r="W187" i="10"/>
  <c r="X187" i="10"/>
  <c r="D214" i="5"/>
  <c r="V214" i="5" s="1"/>
  <c r="R47" i="10"/>
  <c r="W47" i="10"/>
  <c r="X47" i="10"/>
  <c r="R55" i="10"/>
  <c r="W55" i="10"/>
  <c r="X55" i="10"/>
  <c r="R63" i="10"/>
  <c r="W63" i="10"/>
  <c r="X63" i="10"/>
  <c r="D90" i="5"/>
  <c r="U90" i="5" s="1"/>
  <c r="R71" i="10"/>
  <c r="W71" i="10"/>
  <c r="X71" i="10"/>
  <c r="R79" i="10"/>
  <c r="W79" i="10"/>
  <c r="X79" i="10"/>
  <c r="D107" i="5"/>
  <c r="V107" i="5" s="1"/>
  <c r="R87" i="10"/>
  <c r="W87" i="10"/>
  <c r="X87" i="10"/>
  <c r="R95" i="10"/>
  <c r="W95" i="10"/>
  <c r="X95" i="10"/>
  <c r="D122" i="5"/>
  <c r="W122" i="5" s="1"/>
  <c r="W171" i="10"/>
  <c r="X171" i="10"/>
  <c r="W180" i="10"/>
  <c r="X180" i="10"/>
  <c r="R102" i="10"/>
  <c r="W102" i="10"/>
  <c r="X102" i="10"/>
  <c r="R104" i="10"/>
  <c r="W104" i="10"/>
  <c r="X104" i="10"/>
  <c r="R182" i="10"/>
  <c r="M182" i="10"/>
  <c r="N182" i="10"/>
  <c r="S182" i="10"/>
  <c r="R65" i="10"/>
  <c r="W65" i="10"/>
  <c r="X65" i="10"/>
  <c r="D92" i="5"/>
  <c r="W92" i="5" s="1"/>
  <c r="R73" i="10"/>
  <c r="W73" i="10"/>
  <c r="X73" i="10"/>
  <c r="D101" i="5"/>
  <c r="W101" i="5" s="1"/>
  <c r="R81" i="10"/>
  <c r="W81" i="10"/>
  <c r="X81" i="10"/>
  <c r="R89" i="10"/>
  <c r="W89" i="10"/>
  <c r="X89" i="10"/>
  <c r="R97" i="10"/>
  <c r="W97" i="10"/>
  <c r="X97" i="10"/>
  <c r="D124" i="5"/>
  <c r="V124" i="5" s="1"/>
  <c r="R110" i="10"/>
  <c r="M110" i="10"/>
  <c r="N110" i="10"/>
  <c r="S110" i="10"/>
  <c r="R150" i="10"/>
  <c r="M150" i="10"/>
  <c r="N150" i="10"/>
  <c r="S150" i="10"/>
  <c r="M121" i="10"/>
  <c r="N121" i="10"/>
  <c r="S121" i="10"/>
  <c r="W121" i="10"/>
  <c r="X121" i="10"/>
  <c r="D148" i="5"/>
  <c r="W148" i="5" s="1"/>
  <c r="M129" i="10"/>
  <c r="N129" i="10"/>
  <c r="S129" i="10"/>
  <c r="W129" i="10"/>
  <c r="X129" i="10"/>
  <c r="R158" i="10"/>
  <c r="M158" i="10"/>
  <c r="N158" i="10"/>
  <c r="S158" i="10"/>
  <c r="R126" i="10"/>
  <c r="M126" i="10"/>
  <c r="N126" i="10"/>
  <c r="S126" i="10"/>
  <c r="R166" i="10"/>
  <c r="M166" i="10"/>
  <c r="N166" i="10"/>
  <c r="S166" i="10"/>
  <c r="R190" i="10"/>
  <c r="M190" i="10"/>
  <c r="N190" i="10"/>
  <c r="S190" i="10"/>
  <c r="R118" i="10"/>
  <c r="M118" i="10"/>
  <c r="N118" i="10"/>
  <c r="S118" i="10"/>
  <c r="R134" i="10"/>
  <c r="M134" i="10"/>
  <c r="N134" i="10"/>
  <c r="S134" i="10"/>
  <c r="R142" i="10"/>
  <c r="M142" i="10"/>
  <c r="N142" i="10"/>
  <c r="S142" i="10"/>
  <c r="R109" i="10"/>
  <c r="W109" i="10"/>
  <c r="X109" i="10"/>
  <c r="R117" i="10"/>
  <c r="W117" i="10"/>
  <c r="X117" i="10"/>
  <c r="R125" i="10"/>
  <c r="W125" i="10"/>
  <c r="X125" i="10"/>
  <c r="R133" i="10"/>
  <c r="W133" i="10"/>
  <c r="X133" i="10"/>
  <c r="R141" i="10"/>
  <c r="W141" i="10"/>
  <c r="X141" i="10"/>
  <c r="R149" i="10"/>
  <c r="W149" i="10"/>
  <c r="X149" i="10"/>
  <c r="R157" i="10"/>
  <c r="W157" i="10"/>
  <c r="X157" i="10"/>
  <c r="R165" i="10"/>
  <c r="W165" i="10"/>
  <c r="X165" i="10"/>
  <c r="D192" i="5"/>
  <c r="R173" i="10"/>
  <c r="W173" i="10"/>
  <c r="X173" i="10"/>
  <c r="R181" i="10"/>
  <c r="W181" i="10"/>
  <c r="X181" i="10"/>
  <c r="R189" i="10"/>
  <c r="W189" i="10"/>
  <c r="X189" i="10"/>
  <c r="D216" i="5"/>
  <c r="R111" i="10"/>
  <c r="W111" i="10"/>
  <c r="X111" i="10"/>
  <c r="R119" i="10"/>
  <c r="W119" i="10"/>
  <c r="X119" i="10"/>
  <c r="D146" i="5"/>
  <c r="U146" i="5" s="1"/>
  <c r="R127" i="10"/>
  <c r="W127" i="10"/>
  <c r="X127" i="10"/>
  <c r="D154" i="5"/>
  <c r="U154" i="5" s="1"/>
  <c r="R135" i="10"/>
  <c r="W135" i="10"/>
  <c r="X135" i="10"/>
  <c r="D162" i="5"/>
  <c r="R143" i="10"/>
  <c r="W143" i="10"/>
  <c r="X143" i="10"/>
  <c r="R151" i="10"/>
  <c r="W151" i="10"/>
  <c r="X151" i="10"/>
  <c r="R159" i="10"/>
  <c r="W159" i="10"/>
  <c r="X159" i="10"/>
  <c r="R167" i="10"/>
  <c r="W167" i="10"/>
  <c r="X167" i="10"/>
  <c r="D194" i="5"/>
  <c r="U194" i="5" s="1"/>
  <c r="R175" i="10"/>
  <c r="W175" i="10"/>
  <c r="X175" i="10"/>
  <c r="R183" i="10"/>
  <c r="W183" i="10"/>
  <c r="X183" i="10"/>
  <c r="D210" i="5"/>
  <c r="U210" i="5" s="1"/>
  <c r="R191" i="10"/>
  <c r="W191" i="10"/>
  <c r="X191" i="10"/>
  <c r="W72" i="10"/>
  <c r="X72" i="10"/>
  <c r="W39" i="10"/>
  <c r="X39" i="10"/>
  <c r="W48" i="10"/>
  <c r="X48" i="10"/>
  <c r="D75" i="5"/>
  <c r="V75" i="5" s="1"/>
  <c r="W146" i="10"/>
  <c r="X146" i="10"/>
  <c r="W103" i="10"/>
  <c r="X103" i="10"/>
  <c r="W150" i="10"/>
  <c r="X150" i="10"/>
  <c r="W156" i="10"/>
  <c r="X156" i="10"/>
  <c r="W23" i="10"/>
  <c r="X23" i="10"/>
  <c r="D50" i="5"/>
  <c r="W88" i="10"/>
  <c r="X88" i="10"/>
  <c r="D115" i="5"/>
  <c r="V115" i="5" s="1"/>
  <c r="W69" i="10"/>
  <c r="X69" i="10"/>
  <c r="W174" i="10"/>
  <c r="X174" i="10"/>
  <c r="D201" i="5"/>
  <c r="W134" i="10"/>
  <c r="X134" i="10"/>
  <c r="W124" i="10"/>
  <c r="X124" i="10"/>
  <c r="W168" i="10"/>
  <c r="X168" i="10"/>
  <c r="D195" i="5"/>
  <c r="W195" i="5" s="1"/>
  <c r="W154" i="10"/>
  <c r="X154" i="10"/>
  <c r="W50" i="10"/>
  <c r="X50" i="10"/>
  <c r="W142" i="10"/>
  <c r="X142" i="10"/>
  <c r="W96" i="10"/>
  <c r="X96" i="10"/>
  <c r="D123" i="5"/>
  <c r="W155" i="10"/>
  <c r="X155" i="10"/>
  <c r="W77" i="10"/>
  <c r="X77" i="10"/>
  <c r="D105" i="5"/>
  <c r="W144" i="10"/>
  <c r="X144" i="10"/>
  <c r="W126" i="10"/>
  <c r="X126" i="10"/>
  <c r="W57" i="10"/>
  <c r="X57" i="10"/>
  <c r="W7" i="10"/>
  <c r="X7" i="10"/>
  <c r="D34" i="5"/>
  <c r="V34" i="5" s="1"/>
  <c r="W113" i="10"/>
  <c r="X113" i="10"/>
  <c r="D140" i="5"/>
  <c r="W140" i="5" s="1"/>
  <c r="W190" i="10"/>
  <c r="X190" i="10"/>
  <c r="W80" i="10"/>
  <c r="X80" i="10"/>
  <c r="D108" i="5"/>
  <c r="W108" i="5" s="1"/>
  <c r="W182" i="10"/>
  <c r="X182" i="10"/>
  <c r="W148" i="10"/>
  <c r="X148" i="10"/>
  <c r="W105" i="10"/>
  <c r="X105" i="10"/>
  <c r="D132" i="5"/>
  <c r="V132" i="5" s="1"/>
  <c r="W56" i="10"/>
  <c r="X56" i="10"/>
  <c r="D83" i="5"/>
  <c r="W83" i="5" s="1"/>
  <c r="W147" i="10"/>
  <c r="X147" i="10"/>
  <c r="W64" i="10"/>
  <c r="X64" i="10"/>
  <c r="D91" i="5"/>
  <c r="W91" i="5" s="1"/>
  <c r="W84" i="10"/>
  <c r="X84" i="10"/>
  <c r="W185" i="10"/>
  <c r="X185" i="10"/>
  <c r="D212" i="5"/>
  <c r="W212" i="5" s="1"/>
  <c r="W118" i="10"/>
  <c r="X118" i="10"/>
  <c r="D145" i="5"/>
  <c r="V145" i="5" s="1"/>
  <c r="W59" i="10"/>
  <c r="X59" i="10"/>
  <c r="D86" i="5"/>
  <c r="V86" i="5" s="1"/>
  <c r="W110" i="10"/>
  <c r="X110" i="10"/>
  <c r="D137" i="5"/>
  <c r="V137" i="5" s="1"/>
  <c r="W166" i="10"/>
  <c r="X166" i="10"/>
  <c r="D193" i="5"/>
  <c r="W193" i="5" s="1"/>
  <c r="W158" i="10"/>
  <c r="X158" i="10"/>
  <c r="D185" i="5"/>
  <c r="W49" i="10"/>
  <c r="X49" i="10"/>
  <c r="D76" i="5"/>
  <c r="W76" i="5" s="1"/>
  <c r="W15" i="10"/>
  <c r="X15" i="10"/>
  <c r="D42" i="5"/>
  <c r="W31" i="10"/>
  <c r="X31" i="10"/>
  <c r="D58" i="5"/>
  <c r="Q27" i="5"/>
  <c r="P27" i="5"/>
  <c r="AI25" i="5"/>
  <c r="AH25" i="5"/>
  <c r="AG25" i="5"/>
  <c r="AF25" i="5"/>
  <c r="AE25" i="5"/>
  <c r="AD25" i="5"/>
  <c r="AC25" i="5"/>
  <c r="AB25" i="5"/>
  <c r="AA25" i="5"/>
  <c r="I2" i="9"/>
  <c r="L2" i="9" s="1"/>
  <c r="V202" i="5" l="1"/>
  <c r="V117" i="5"/>
  <c r="V204" i="5"/>
  <c r="V38" i="5"/>
  <c r="U156" i="5"/>
  <c r="U119" i="5"/>
  <c r="V29" i="5"/>
  <c r="V51" i="5"/>
  <c r="U101" i="5"/>
  <c r="V163" i="5"/>
  <c r="U116" i="5"/>
  <c r="U115" i="5"/>
  <c r="V131" i="5"/>
  <c r="W142" i="5"/>
  <c r="U51" i="5"/>
  <c r="V183" i="5"/>
  <c r="U165" i="5"/>
  <c r="U76" i="5"/>
  <c r="V130" i="5"/>
  <c r="W126" i="5"/>
  <c r="V85" i="5"/>
  <c r="U157" i="5"/>
  <c r="U53" i="5"/>
  <c r="V126" i="5"/>
  <c r="W116" i="5"/>
  <c r="W125" i="5"/>
  <c r="U150" i="5"/>
  <c r="U110" i="5"/>
  <c r="W189" i="5"/>
  <c r="U195" i="5"/>
  <c r="U149" i="5"/>
  <c r="U107" i="5"/>
  <c r="U43" i="5"/>
  <c r="V156" i="5"/>
  <c r="V110" i="5"/>
  <c r="W182" i="5"/>
  <c r="W81" i="5"/>
  <c r="U187" i="5"/>
  <c r="U39" i="5"/>
  <c r="V149" i="5"/>
  <c r="W178" i="5"/>
  <c r="W54" i="5"/>
  <c r="U167" i="5"/>
  <c r="U142" i="5"/>
  <c r="U93" i="5"/>
  <c r="U36" i="5"/>
  <c r="V147" i="5"/>
  <c r="W165" i="5"/>
  <c r="U147" i="5"/>
  <c r="U166" i="5"/>
  <c r="U92" i="5"/>
  <c r="V218" i="5"/>
  <c r="V135" i="5"/>
  <c r="V53" i="5"/>
  <c r="W146" i="5"/>
  <c r="U214" i="5"/>
  <c r="U134" i="5"/>
  <c r="V186" i="5"/>
  <c r="U211" i="5"/>
  <c r="U132" i="5"/>
  <c r="U75" i="5"/>
  <c r="V109" i="5"/>
  <c r="W37" i="5"/>
  <c r="U124" i="5"/>
  <c r="U108" i="5"/>
  <c r="U67" i="5"/>
  <c r="V199" i="5"/>
  <c r="V174" i="5"/>
  <c r="V102" i="5"/>
  <c r="W75" i="5"/>
  <c r="U182" i="5"/>
  <c r="U141" i="5"/>
  <c r="U85" i="5"/>
  <c r="U63" i="5"/>
  <c r="V193" i="5"/>
  <c r="V172" i="5"/>
  <c r="V146" i="5"/>
  <c r="V121" i="5"/>
  <c r="V101" i="5"/>
  <c r="T101" i="5" s="1"/>
  <c r="Z101" i="5" s="1"/>
  <c r="V63" i="5"/>
  <c r="W164" i="5"/>
  <c r="W70" i="5"/>
  <c r="V177" i="5"/>
  <c r="V155" i="5"/>
  <c r="U109" i="5"/>
  <c r="U71" i="5"/>
  <c r="V175" i="5"/>
  <c r="V108" i="5"/>
  <c r="V71" i="5"/>
  <c r="V37" i="5"/>
  <c r="W166" i="5"/>
  <c r="W139" i="5"/>
  <c r="U87" i="5"/>
  <c r="V122" i="5"/>
  <c r="V30" i="5"/>
  <c r="U175" i="5"/>
  <c r="U155" i="5"/>
  <c r="U139" i="5"/>
  <c r="U118" i="5"/>
  <c r="U103" i="5"/>
  <c r="U79" i="5"/>
  <c r="U59" i="5"/>
  <c r="U31" i="5"/>
  <c r="V191" i="5"/>
  <c r="V167" i="5"/>
  <c r="V119" i="5"/>
  <c r="V94" i="5"/>
  <c r="V55" i="5"/>
  <c r="W218" i="5"/>
  <c r="W118" i="5"/>
  <c r="W69" i="5"/>
  <c r="V211" i="5"/>
  <c r="U131" i="5"/>
  <c r="W141" i="5"/>
  <c r="U164" i="5"/>
  <c r="T164" i="5" s="1"/>
  <c r="Z164" i="5" s="1"/>
  <c r="U91" i="5"/>
  <c r="V67" i="5"/>
  <c r="W34" i="5"/>
  <c r="U171" i="5"/>
  <c r="U135" i="5"/>
  <c r="U117" i="5"/>
  <c r="U102" i="5"/>
  <c r="U78" i="5"/>
  <c r="U54" i="5"/>
  <c r="T54" i="5" s="1"/>
  <c r="Z54" i="5" s="1"/>
  <c r="U29" i="5"/>
  <c r="V190" i="5"/>
  <c r="V90" i="5"/>
  <c r="W214" i="5"/>
  <c r="W56" i="5"/>
  <c r="V57" i="5"/>
  <c r="U57" i="5"/>
  <c r="V88" i="5"/>
  <c r="U88" i="5"/>
  <c r="W161" i="5"/>
  <c r="V161" i="5"/>
  <c r="U161" i="5"/>
  <c r="W129" i="5"/>
  <c r="U129" i="5"/>
  <c r="W113" i="5"/>
  <c r="U113" i="5"/>
  <c r="W68" i="5"/>
  <c r="V68" i="5"/>
  <c r="U196" i="5"/>
  <c r="U68" i="5"/>
  <c r="W206" i="5"/>
  <c r="V45" i="5"/>
  <c r="W45" i="5"/>
  <c r="W72" i="5"/>
  <c r="V72" i="5"/>
  <c r="U72" i="5"/>
  <c r="V160" i="5"/>
  <c r="W160" i="5"/>
  <c r="U160" i="5"/>
  <c r="V128" i="5"/>
  <c r="W128" i="5"/>
  <c r="U128" i="5"/>
  <c r="W82" i="5"/>
  <c r="U82" i="5"/>
  <c r="U181" i="5"/>
  <c r="V203" i="5"/>
  <c r="W205" i="5"/>
  <c r="V123" i="5"/>
  <c r="W123" i="5"/>
  <c r="W50" i="5"/>
  <c r="V50" i="5"/>
  <c r="U50" i="5"/>
  <c r="V216" i="5"/>
  <c r="W216" i="5"/>
  <c r="U216" i="5"/>
  <c r="W159" i="5"/>
  <c r="V159" i="5"/>
  <c r="V170" i="5"/>
  <c r="U170" i="5"/>
  <c r="V136" i="5"/>
  <c r="W136" i="5"/>
  <c r="U136" i="5"/>
  <c r="W98" i="5"/>
  <c r="V98" i="5"/>
  <c r="U98" i="5"/>
  <c r="U65" i="5"/>
  <c r="W65" i="5"/>
  <c r="U205" i="5"/>
  <c r="U191" i="5"/>
  <c r="U180" i="5"/>
  <c r="T116" i="5"/>
  <c r="Z116" i="5" s="1"/>
  <c r="V173" i="5"/>
  <c r="V129" i="5"/>
  <c r="V113" i="5"/>
  <c r="V100" i="5"/>
  <c r="V84" i="5"/>
  <c r="W204" i="5"/>
  <c r="T204" i="5" s="1"/>
  <c r="Z204" i="5" s="1"/>
  <c r="W100" i="5"/>
  <c r="U190" i="5"/>
  <c r="U179" i="5"/>
  <c r="U140" i="5"/>
  <c r="V140" i="5"/>
  <c r="V127" i="5"/>
  <c r="V111" i="5"/>
  <c r="V99" i="5"/>
  <c r="V83" i="5"/>
  <c r="V52" i="5"/>
  <c r="W99" i="5"/>
  <c r="W38" i="5"/>
  <c r="U203" i="5"/>
  <c r="U189" i="5"/>
  <c r="U125" i="5"/>
  <c r="U111" i="5"/>
  <c r="U86" i="5"/>
  <c r="V212" i="5"/>
  <c r="V82" i="5"/>
  <c r="V66" i="5"/>
  <c r="W196" i="5"/>
  <c r="W179" i="5"/>
  <c r="W90" i="5"/>
  <c r="W145" i="5"/>
  <c r="U145" i="5"/>
  <c r="W105" i="5"/>
  <c r="V105" i="5"/>
  <c r="U105" i="5"/>
  <c r="W73" i="5"/>
  <c r="U73" i="5"/>
  <c r="W209" i="5"/>
  <c r="U209" i="5"/>
  <c r="V184" i="5"/>
  <c r="W184" i="5"/>
  <c r="U184" i="5"/>
  <c r="V176" i="5"/>
  <c r="W176" i="5"/>
  <c r="U176" i="5"/>
  <c r="W153" i="5"/>
  <c r="U153" i="5"/>
  <c r="V153" i="5"/>
  <c r="W133" i="5"/>
  <c r="V133" i="5"/>
  <c r="V106" i="5"/>
  <c r="U106" i="5"/>
  <c r="W95" i="5"/>
  <c r="V95" i="5"/>
  <c r="W77" i="5"/>
  <c r="V77" i="5"/>
  <c r="U213" i="5"/>
  <c r="U199" i="5"/>
  <c r="U174" i="5"/>
  <c r="U163" i="5"/>
  <c r="U35" i="5"/>
  <c r="V195" i="5"/>
  <c r="V154" i="5"/>
  <c r="V93" i="5"/>
  <c r="V81" i="5"/>
  <c r="V65" i="5"/>
  <c r="V44" i="5"/>
  <c r="W132" i="5"/>
  <c r="W115" i="5"/>
  <c r="T115" i="5" s="1"/>
  <c r="Z115" i="5" s="1"/>
  <c r="W66" i="5"/>
  <c r="W35" i="5"/>
  <c r="V104" i="5"/>
  <c r="W104" i="5"/>
  <c r="U104" i="5"/>
  <c r="W74" i="5"/>
  <c r="U74" i="5"/>
  <c r="U212" i="5"/>
  <c r="U173" i="5"/>
  <c r="U159" i="5"/>
  <c r="U148" i="5"/>
  <c r="U123" i="5"/>
  <c r="U95" i="5"/>
  <c r="U84" i="5"/>
  <c r="U70" i="5"/>
  <c r="U45" i="5"/>
  <c r="V210" i="5"/>
  <c r="V194" i="5"/>
  <c r="V181" i="5"/>
  <c r="V92" i="5"/>
  <c r="V76" i="5"/>
  <c r="V43" i="5"/>
  <c r="W194" i="5"/>
  <c r="W171" i="5"/>
  <c r="W154" i="5"/>
  <c r="W88" i="5"/>
  <c r="W57" i="5"/>
  <c r="V58" i="5"/>
  <c r="W58" i="5"/>
  <c r="U58" i="5"/>
  <c r="V188" i="5"/>
  <c r="W188" i="5"/>
  <c r="V144" i="5"/>
  <c r="W144" i="5"/>
  <c r="U144" i="5"/>
  <c r="W47" i="5"/>
  <c r="V47" i="5"/>
  <c r="W185" i="5"/>
  <c r="U185" i="5"/>
  <c r="W138" i="5"/>
  <c r="U138" i="5"/>
  <c r="V112" i="5"/>
  <c r="W112" i="5"/>
  <c r="U112" i="5"/>
  <c r="U206" i="5"/>
  <c r="V158" i="5"/>
  <c r="W201" i="5"/>
  <c r="U201" i="5"/>
  <c r="U89" i="5"/>
  <c r="V89" i="5"/>
  <c r="V33" i="5"/>
  <c r="U33" i="5"/>
  <c r="U127" i="5"/>
  <c r="U52" i="5"/>
  <c r="V157" i="5"/>
  <c r="W42" i="5"/>
  <c r="V42" i="5"/>
  <c r="U42" i="5"/>
  <c r="W162" i="5"/>
  <c r="V162" i="5"/>
  <c r="U162" i="5"/>
  <c r="U62" i="5"/>
  <c r="V213" i="5"/>
  <c r="V201" i="5"/>
  <c r="V185" i="5"/>
  <c r="W180" i="5"/>
  <c r="V46" i="5"/>
  <c r="W46" i="5"/>
  <c r="W40" i="5"/>
  <c r="V40" i="5"/>
  <c r="U40" i="5"/>
  <c r="W61" i="5"/>
  <c r="V61" i="5"/>
  <c r="V208" i="5"/>
  <c r="W208" i="5"/>
  <c r="U208" i="5"/>
  <c r="W198" i="5"/>
  <c r="V198" i="5"/>
  <c r="V152" i="5"/>
  <c r="W152" i="5"/>
  <c r="U152" i="5"/>
  <c r="W137" i="5"/>
  <c r="U137" i="5"/>
  <c r="W60" i="5"/>
  <c r="V60" i="5"/>
  <c r="W215" i="5"/>
  <c r="V215" i="5"/>
  <c r="W143" i="5"/>
  <c r="V143" i="5"/>
  <c r="V49" i="5"/>
  <c r="U49" i="5"/>
  <c r="W207" i="5"/>
  <c r="V207" i="5"/>
  <c r="W197" i="5"/>
  <c r="V197" i="5"/>
  <c r="W151" i="5"/>
  <c r="V151" i="5"/>
  <c r="V114" i="5"/>
  <c r="U114" i="5"/>
  <c r="V48" i="5"/>
  <c r="U48" i="5"/>
  <c r="U197" i="5"/>
  <c r="U183" i="5"/>
  <c r="U172" i="5"/>
  <c r="U158" i="5"/>
  <c r="U133" i="5"/>
  <c r="U94" i="5"/>
  <c r="U83" i="5"/>
  <c r="U69" i="5"/>
  <c r="U55" i="5"/>
  <c r="U44" i="5"/>
  <c r="U30" i="5"/>
  <c r="V209" i="5"/>
  <c r="V148" i="5"/>
  <c r="V103" i="5"/>
  <c r="V91" i="5"/>
  <c r="V62" i="5"/>
  <c r="V39" i="5"/>
  <c r="W210" i="5"/>
  <c r="W170" i="5"/>
  <c r="W150" i="5"/>
  <c r="W130" i="5"/>
  <c r="T130" i="5" s="1"/>
  <c r="Z130" i="5" s="1"/>
  <c r="W107" i="5"/>
  <c r="W86" i="5"/>
  <c r="W33" i="5"/>
  <c r="V120" i="5"/>
  <c r="W120" i="5"/>
  <c r="W41" i="5"/>
  <c r="V41" i="5"/>
  <c r="V64" i="5"/>
  <c r="W64" i="5"/>
  <c r="U202" i="5"/>
  <c r="U186" i="5"/>
  <c r="U178" i="5"/>
  <c r="U122" i="5"/>
  <c r="U34" i="5"/>
  <c r="V217" i="5"/>
  <c r="V134" i="5"/>
  <c r="V79" i="5"/>
  <c r="V36" i="5"/>
  <c r="W124" i="5"/>
  <c r="W80" i="5"/>
  <c r="V192" i="5"/>
  <c r="W192" i="5"/>
  <c r="V32" i="5"/>
  <c r="W32" i="5"/>
  <c r="V200" i="5"/>
  <c r="W200" i="5"/>
  <c r="V168" i="5"/>
  <c r="W168" i="5"/>
  <c r="V96" i="5"/>
  <c r="W96" i="5"/>
  <c r="U217" i="5"/>
  <c r="U193" i="5"/>
  <c r="U177" i="5"/>
  <c r="U169" i="5"/>
  <c r="U121" i="5"/>
  <c r="U97" i="5"/>
  <c r="U41" i="5"/>
  <c r="V97" i="5"/>
  <c r="V87" i="5"/>
  <c r="V78" i="5"/>
  <c r="W187" i="5"/>
  <c r="W59" i="5"/>
  <c r="U200" i="5"/>
  <c r="U192" i="5"/>
  <c r="U168" i="5"/>
  <c r="U120" i="5"/>
  <c r="U96" i="5"/>
  <c r="U80" i="5"/>
  <c r="U64" i="5"/>
  <c r="U56" i="5"/>
  <c r="U32" i="5"/>
  <c r="V169" i="5"/>
  <c r="V31" i="5"/>
  <c r="L11" i="9"/>
  <c r="O27" i="5"/>
  <c r="T165" i="5" l="1"/>
  <c r="Z165" i="5" s="1"/>
  <c r="T67" i="5"/>
  <c r="Z67" i="5" s="1"/>
  <c r="T166" i="5"/>
  <c r="Z166" i="5" s="1"/>
  <c r="T142" i="5"/>
  <c r="Z142" i="5" s="1"/>
  <c r="T156" i="5"/>
  <c r="Z156" i="5" s="1"/>
  <c r="T117" i="5"/>
  <c r="Z117" i="5" s="1"/>
  <c r="T38" i="5"/>
  <c r="Z38" i="5" s="1"/>
  <c r="T51" i="5"/>
  <c r="Z51" i="5" s="1"/>
  <c r="T210" i="5"/>
  <c r="Z210" i="5" s="1"/>
  <c r="T109" i="5"/>
  <c r="Z109" i="5" s="1"/>
  <c r="X130" i="5"/>
  <c r="Y130" i="5"/>
  <c r="X116" i="5"/>
  <c r="S116" i="5" s="1"/>
  <c r="Y116" i="5"/>
  <c r="Y204" i="5"/>
  <c r="S204" i="5" s="1"/>
  <c r="X101" i="5"/>
  <c r="S101" i="5" s="1"/>
  <c r="Y101" i="5"/>
  <c r="X115" i="5"/>
  <c r="Y115" i="5"/>
  <c r="X54" i="5"/>
  <c r="Y54" i="5"/>
  <c r="X164" i="5"/>
  <c r="S164" i="5" s="1"/>
  <c r="Y164" i="5"/>
  <c r="T75" i="5"/>
  <c r="Z75" i="5" s="1"/>
  <c r="T218" i="5"/>
  <c r="T182" i="5"/>
  <c r="Z182" i="5" s="1"/>
  <c r="T110" i="5"/>
  <c r="Z110" i="5" s="1"/>
  <c r="T126" i="5"/>
  <c r="Z126" i="5" s="1"/>
  <c r="T187" i="5"/>
  <c r="Z187" i="5" s="1"/>
  <c r="T29" i="5"/>
  <c r="T149" i="5"/>
  <c r="Z149" i="5" s="1"/>
  <c r="T53" i="5"/>
  <c r="Z53" i="5" s="1"/>
  <c r="T195" i="5"/>
  <c r="Z195" i="5" s="1"/>
  <c r="T155" i="5"/>
  <c r="T131" i="5"/>
  <c r="Z131" i="5" s="1"/>
  <c r="T150" i="5"/>
  <c r="Z150" i="5" s="1"/>
  <c r="T71" i="5"/>
  <c r="Z71" i="5" s="1"/>
  <c r="T85" i="5"/>
  <c r="Z85" i="5" s="1"/>
  <c r="T108" i="5"/>
  <c r="Z108" i="5" s="1"/>
  <c r="T147" i="5"/>
  <c r="Z147" i="5" s="1"/>
  <c r="T215" i="5"/>
  <c r="Z215" i="5" s="1"/>
  <c r="T132" i="5"/>
  <c r="Z132" i="5" s="1"/>
  <c r="T118" i="5"/>
  <c r="Z118" i="5" s="1"/>
  <c r="T59" i="5"/>
  <c r="Z59" i="5" s="1"/>
  <c r="T37" i="5"/>
  <c r="Z37" i="5" s="1"/>
  <c r="T124" i="5"/>
  <c r="Z124" i="5" s="1"/>
  <c r="T135" i="5"/>
  <c r="Z135" i="5" s="1"/>
  <c r="T63" i="5"/>
  <c r="Z63" i="5" s="1"/>
  <c r="T81" i="5"/>
  <c r="Z81" i="5" s="1"/>
  <c r="T198" i="5"/>
  <c r="Z198" i="5" s="1"/>
  <c r="T119" i="5"/>
  <c r="Z119" i="5" s="1"/>
  <c r="T211" i="5"/>
  <c r="Z211" i="5" s="1"/>
  <c r="T143" i="5"/>
  <c r="Z143" i="5" s="1"/>
  <c r="T139" i="5"/>
  <c r="Z139" i="5" s="1"/>
  <c r="T90" i="5"/>
  <c r="Z90" i="5" s="1"/>
  <c r="T141" i="5"/>
  <c r="Z141" i="5" s="1"/>
  <c r="T79" i="5"/>
  <c r="Z79" i="5" s="1"/>
  <c r="T102" i="5"/>
  <c r="Z102" i="5" s="1"/>
  <c r="T66" i="5"/>
  <c r="Z66" i="5" s="1"/>
  <c r="T99" i="5"/>
  <c r="Z99" i="5" s="1"/>
  <c r="T214" i="5"/>
  <c r="Z214" i="5" s="1"/>
  <c r="T171" i="5"/>
  <c r="Z171" i="5" s="1"/>
  <c r="S171" i="5" s="1"/>
  <c r="T175" i="5"/>
  <c r="Z175" i="5" s="1"/>
  <c r="T107" i="5"/>
  <c r="Z107" i="5" s="1"/>
  <c r="T151" i="5"/>
  <c r="Z151" i="5" s="1"/>
  <c r="W27" i="5"/>
  <c r="T103" i="5"/>
  <c r="Z103" i="5" s="1"/>
  <c r="S103" i="5" s="1"/>
  <c r="T146" i="5"/>
  <c r="Z146" i="5" s="1"/>
  <c r="T167" i="5"/>
  <c r="Z167" i="5" s="1"/>
  <c r="T82" i="5"/>
  <c r="Z82" i="5" s="1"/>
  <c r="T72" i="5"/>
  <c r="Z72" i="5" s="1"/>
  <c r="T196" i="5"/>
  <c r="Z196" i="5" s="1"/>
  <c r="T80" i="5"/>
  <c r="Z80" i="5" s="1"/>
  <c r="T193" i="5"/>
  <c r="Z193" i="5" s="1"/>
  <c r="T55" i="5"/>
  <c r="Z55" i="5" s="1"/>
  <c r="T127" i="5"/>
  <c r="Z127" i="5" s="1"/>
  <c r="T58" i="5"/>
  <c r="Z58" i="5" s="1"/>
  <c r="T113" i="5"/>
  <c r="Z113" i="5" s="1"/>
  <c r="T48" i="5"/>
  <c r="Z48" i="5" s="1"/>
  <c r="T42" i="5"/>
  <c r="Z42" i="5" s="1"/>
  <c r="T112" i="5"/>
  <c r="Z112" i="5" s="1"/>
  <c r="T86" i="5"/>
  <c r="Z86" i="5" s="1"/>
  <c r="U27" i="5"/>
  <c r="T93" i="5"/>
  <c r="X93" i="5" s="1"/>
  <c r="T45" i="5"/>
  <c r="Z45" i="5" s="1"/>
  <c r="T111" i="5"/>
  <c r="Z111" i="5" s="1"/>
  <c r="T87" i="5"/>
  <c r="Z87" i="5" s="1"/>
  <c r="T160" i="5"/>
  <c r="Z160" i="5" s="1"/>
  <c r="T129" i="5"/>
  <c r="Z129" i="5" s="1"/>
  <c r="T46" i="5"/>
  <c r="Z46" i="5" s="1"/>
  <c r="T31" i="5"/>
  <c r="Z31" i="5" s="1"/>
  <c r="T41" i="5"/>
  <c r="Z41" i="5" s="1"/>
  <c r="T158" i="5"/>
  <c r="Z158" i="5" s="1"/>
  <c r="T74" i="5"/>
  <c r="Z74" i="5" s="1"/>
  <c r="T203" i="5"/>
  <c r="Z203" i="5" s="1"/>
  <c r="T140" i="5"/>
  <c r="Z140" i="5" s="1"/>
  <c r="T97" i="5"/>
  <c r="Z97" i="5" s="1"/>
  <c r="T178" i="5"/>
  <c r="Z178" i="5" s="1"/>
  <c r="S178" i="5" s="1"/>
  <c r="T172" i="5"/>
  <c r="Z172" i="5" s="1"/>
  <c r="T152" i="5"/>
  <c r="Z152" i="5" s="1"/>
  <c r="T138" i="5"/>
  <c r="Z138" i="5" s="1"/>
  <c r="T35" i="5"/>
  <c r="Z35" i="5" s="1"/>
  <c r="T153" i="5"/>
  <c r="Z153" i="5" s="1"/>
  <c r="T207" i="5"/>
  <c r="Z207" i="5" s="1"/>
  <c r="T180" i="5"/>
  <c r="Z180" i="5" s="1"/>
  <c r="T32" i="5"/>
  <c r="Z32" i="5" s="1"/>
  <c r="T121" i="5"/>
  <c r="Z121" i="5" s="1"/>
  <c r="T186" i="5"/>
  <c r="Z186" i="5" s="1"/>
  <c r="T183" i="5"/>
  <c r="T70" i="5"/>
  <c r="Z70" i="5" s="1"/>
  <c r="T148" i="5"/>
  <c r="Z148" i="5" s="1"/>
  <c r="T77" i="5"/>
  <c r="Z77" i="5" s="1"/>
  <c r="T56" i="5"/>
  <c r="Z56" i="5" s="1"/>
  <c r="T202" i="5"/>
  <c r="Z202" i="5" s="1"/>
  <c r="T30" i="5"/>
  <c r="T197" i="5"/>
  <c r="Z197" i="5" s="1"/>
  <c r="T40" i="5"/>
  <c r="Z40" i="5" s="1"/>
  <c r="T162" i="5"/>
  <c r="Z162" i="5" s="1"/>
  <c r="T206" i="5"/>
  <c r="Z206" i="5" s="1"/>
  <c r="T185" i="5"/>
  <c r="Z185" i="5" s="1"/>
  <c r="T157" i="5"/>
  <c r="T84" i="5"/>
  <c r="Z84" i="5" s="1"/>
  <c r="T159" i="5"/>
  <c r="Z159" i="5" s="1"/>
  <c r="T176" i="5"/>
  <c r="Z176" i="5" s="1"/>
  <c r="T73" i="5"/>
  <c r="Z73" i="5" s="1"/>
  <c r="T36" i="5"/>
  <c r="Z36" i="5" s="1"/>
  <c r="T179" i="5"/>
  <c r="Z179" i="5" s="1"/>
  <c r="T205" i="5"/>
  <c r="Z205" i="5" s="1"/>
  <c r="T43" i="5"/>
  <c r="Z43" i="5" s="1"/>
  <c r="T100" i="5"/>
  <c r="Z100" i="5" s="1"/>
  <c r="T60" i="5"/>
  <c r="Z60" i="5" s="1"/>
  <c r="T78" i="5"/>
  <c r="Z78" i="5" s="1"/>
  <c r="T133" i="5"/>
  <c r="Z133" i="5" s="1"/>
  <c r="T174" i="5"/>
  <c r="Z174" i="5" s="1"/>
  <c r="T105" i="5"/>
  <c r="Z105" i="5" s="1"/>
  <c r="T65" i="5"/>
  <c r="Z65" i="5" s="1"/>
  <c r="T50" i="5"/>
  <c r="Z50" i="5" s="1"/>
  <c r="T96" i="5"/>
  <c r="Z96" i="5" s="1"/>
  <c r="T217" i="5"/>
  <c r="T69" i="5"/>
  <c r="Z69" i="5" s="1"/>
  <c r="T208" i="5"/>
  <c r="Z208" i="5" s="1"/>
  <c r="T89" i="5"/>
  <c r="Z89" i="5" s="1"/>
  <c r="T199" i="5"/>
  <c r="Z199" i="5" s="1"/>
  <c r="T184" i="5"/>
  <c r="Z184" i="5" s="1"/>
  <c r="V27" i="5"/>
  <c r="T98" i="5"/>
  <c r="Z98" i="5" s="1"/>
  <c r="T57" i="5"/>
  <c r="Z57" i="5" s="1"/>
  <c r="T120" i="5"/>
  <c r="Z120" i="5" s="1"/>
  <c r="T34" i="5"/>
  <c r="Z34" i="5" s="1"/>
  <c r="T83" i="5"/>
  <c r="Z83" i="5" s="1"/>
  <c r="T137" i="5"/>
  <c r="Z137" i="5" s="1"/>
  <c r="T201" i="5"/>
  <c r="Z201" i="5" s="1"/>
  <c r="T123" i="5"/>
  <c r="Z123" i="5" s="1"/>
  <c r="T212" i="5"/>
  <c r="Z212" i="5" s="1"/>
  <c r="T213" i="5"/>
  <c r="Z213" i="5" s="1"/>
  <c r="T189" i="5"/>
  <c r="Z189" i="5" s="1"/>
  <c r="T168" i="5"/>
  <c r="Z168" i="5" s="1"/>
  <c r="T122" i="5"/>
  <c r="Z122" i="5" s="1"/>
  <c r="T94" i="5"/>
  <c r="Z94" i="5" s="1"/>
  <c r="T114" i="5"/>
  <c r="T62" i="5"/>
  <c r="Z62" i="5" s="1"/>
  <c r="T33" i="5"/>
  <c r="Z33" i="5" s="1"/>
  <c r="T144" i="5"/>
  <c r="Z144" i="5" s="1"/>
  <c r="T125" i="5"/>
  <c r="Z125" i="5" s="1"/>
  <c r="T39" i="5"/>
  <c r="Z39" i="5" s="1"/>
  <c r="T192" i="5"/>
  <c r="Z192" i="5" s="1"/>
  <c r="T194" i="5"/>
  <c r="Z194" i="5" s="1"/>
  <c r="T134" i="5"/>
  <c r="Z134" i="5" s="1"/>
  <c r="T209" i="5"/>
  <c r="Z209" i="5" s="1"/>
  <c r="T145" i="5"/>
  <c r="Z145" i="5" s="1"/>
  <c r="T136" i="5"/>
  <c r="Z136" i="5" s="1"/>
  <c r="T181" i="5"/>
  <c r="T161" i="5"/>
  <c r="Z161" i="5" s="1"/>
  <c r="T47" i="5"/>
  <c r="Z47" i="5" s="1"/>
  <c r="T200" i="5"/>
  <c r="Z200" i="5" s="1"/>
  <c r="T49" i="5"/>
  <c r="Z49" i="5" s="1"/>
  <c r="T76" i="5"/>
  <c r="Z76" i="5" s="1"/>
  <c r="T52" i="5"/>
  <c r="Z52" i="5" s="1"/>
  <c r="T104" i="5"/>
  <c r="Z104" i="5" s="1"/>
  <c r="T191" i="5"/>
  <c r="Z191" i="5" s="1"/>
  <c r="T216" i="5"/>
  <c r="Z216" i="5" s="1"/>
  <c r="T169" i="5"/>
  <c r="Z169" i="5" s="1"/>
  <c r="T64" i="5"/>
  <c r="Z64" i="5" s="1"/>
  <c r="T177" i="5"/>
  <c r="Z177" i="5" s="1"/>
  <c r="T44" i="5"/>
  <c r="Z44" i="5" s="1"/>
  <c r="T154" i="5"/>
  <c r="Z154" i="5" s="1"/>
  <c r="T95" i="5"/>
  <c r="Z95" i="5" s="1"/>
  <c r="T173" i="5"/>
  <c r="T163" i="5"/>
  <c r="Z163" i="5" s="1"/>
  <c r="T106" i="5"/>
  <c r="Z106" i="5" s="1"/>
  <c r="T190" i="5"/>
  <c r="Z190" i="5" s="1"/>
  <c r="T91" i="5"/>
  <c r="Z91" i="5" s="1"/>
  <c r="T170" i="5"/>
  <c r="Z170" i="5" s="1"/>
  <c r="T92" i="5"/>
  <c r="Z92" i="5" s="1"/>
  <c r="T128" i="5"/>
  <c r="Z128" i="5" s="1"/>
  <c r="T68" i="5"/>
  <c r="Z68" i="5" s="1"/>
  <c r="T88" i="5"/>
  <c r="Z88" i="5" s="1"/>
  <c r="T188" i="5"/>
  <c r="Z188" i="5" s="1"/>
  <c r="T61" i="5"/>
  <c r="Z61" i="5" s="1"/>
  <c r="Z30" i="5" l="1"/>
  <c r="X30" i="5"/>
  <c r="S54" i="5"/>
  <c r="S130" i="5"/>
  <c r="S115" i="5"/>
  <c r="Z93" i="5"/>
  <c r="Y156" i="5"/>
  <c r="Y165" i="5"/>
  <c r="X165" i="5"/>
  <c r="S165" i="5" s="1"/>
  <c r="Y166" i="5"/>
  <c r="Z29" i="5"/>
  <c r="X38" i="5"/>
  <c r="X166" i="5"/>
  <c r="S166" i="5" s="1"/>
  <c r="Y67" i="5"/>
  <c r="X67" i="5"/>
  <c r="S67" i="5" s="1"/>
  <c r="Y117" i="5"/>
  <c r="X117" i="5"/>
  <c r="S117" i="5" s="1"/>
  <c r="Y142" i="5"/>
  <c r="X142" i="5"/>
  <c r="Y38" i="5"/>
  <c r="Y51" i="5"/>
  <c r="X51" i="5"/>
  <c r="S51" i="5" s="1"/>
  <c r="X156" i="5"/>
  <c r="S156" i="5" s="1"/>
  <c r="Y210" i="5"/>
  <c r="X210" i="5"/>
  <c r="S210" i="5" s="1"/>
  <c r="Y109" i="5"/>
  <c r="X109" i="5"/>
  <c r="Y29" i="5"/>
  <c r="X128" i="5"/>
  <c r="Y128" i="5"/>
  <c r="X136" i="5"/>
  <c r="S136" i="5" s="1"/>
  <c r="Y136" i="5"/>
  <c r="X57" i="5"/>
  <c r="S57" i="5" s="1"/>
  <c r="Y57" i="5"/>
  <c r="X159" i="5"/>
  <c r="Y159" i="5"/>
  <c r="X55" i="5"/>
  <c r="Y55" i="5"/>
  <c r="X92" i="5"/>
  <c r="S92" i="5" s="1"/>
  <c r="Y92" i="5"/>
  <c r="X33" i="5"/>
  <c r="S33" i="5" s="1"/>
  <c r="Y33" i="5"/>
  <c r="X100" i="5"/>
  <c r="Y100" i="5"/>
  <c r="X46" i="5"/>
  <c r="Y46" i="5"/>
  <c r="X102" i="5"/>
  <c r="S102" i="5" s="1"/>
  <c r="Y102" i="5"/>
  <c r="X131" i="5"/>
  <c r="S131" i="5" s="1"/>
  <c r="Y131" i="5"/>
  <c r="X76" i="5"/>
  <c r="Y76" i="5"/>
  <c r="X209" i="5"/>
  <c r="Y209" i="5"/>
  <c r="X62" i="5"/>
  <c r="S62" i="5" s="1"/>
  <c r="Y62" i="5"/>
  <c r="X123" i="5"/>
  <c r="S123" i="5" s="1"/>
  <c r="Y123" i="5"/>
  <c r="X50" i="5"/>
  <c r="Y50" i="5"/>
  <c r="Y43" i="5"/>
  <c r="S43" i="5" s="1"/>
  <c r="Y157" i="5"/>
  <c r="S157" i="5" s="1"/>
  <c r="X56" i="5"/>
  <c r="S56" i="5" s="1"/>
  <c r="Y56" i="5"/>
  <c r="X180" i="5"/>
  <c r="S180" i="5" s="1"/>
  <c r="Y180" i="5"/>
  <c r="X97" i="5"/>
  <c r="Y97" i="5"/>
  <c r="X129" i="5"/>
  <c r="Y129" i="5"/>
  <c r="X112" i="5"/>
  <c r="S112" i="5" s="1"/>
  <c r="Y112" i="5"/>
  <c r="X80" i="5"/>
  <c r="S80" i="5" s="1"/>
  <c r="Y80" i="5"/>
  <c r="X151" i="5"/>
  <c r="Y151" i="5"/>
  <c r="X79" i="5"/>
  <c r="Y79" i="5"/>
  <c r="X81" i="5"/>
  <c r="S81" i="5" s="1"/>
  <c r="Y81" i="5"/>
  <c r="X132" i="5"/>
  <c r="S132" i="5" s="1"/>
  <c r="Y132" i="5"/>
  <c r="Y182" i="5"/>
  <c r="S182" i="5" s="1"/>
  <c r="X91" i="5"/>
  <c r="Y91" i="5"/>
  <c r="X177" i="5"/>
  <c r="Y177" i="5"/>
  <c r="X49" i="5"/>
  <c r="Y49" i="5"/>
  <c r="X134" i="5"/>
  <c r="S134" i="5" s="1"/>
  <c r="Y134" i="5"/>
  <c r="X201" i="5"/>
  <c r="Y201" i="5"/>
  <c r="X184" i="5"/>
  <c r="Y184" i="5"/>
  <c r="X65" i="5"/>
  <c r="Y65" i="5"/>
  <c r="X205" i="5"/>
  <c r="S205" i="5" s="1"/>
  <c r="Y205" i="5"/>
  <c r="X185" i="5"/>
  <c r="Y185" i="5"/>
  <c r="X77" i="5"/>
  <c r="Y77" i="5"/>
  <c r="Y207" i="5"/>
  <c r="S207" i="5" s="1"/>
  <c r="X140" i="5"/>
  <c r="S140" i="5" s="1"/>
  <c r="Y140" i="5"/>
  <c r="X160" i="5"/>
  <c r="Y160" i="5"/>
  <c r="X42" i="5"/>
  <c r="Y42" i="5"/>
  <c r="Y196" i="5"/>
  <c r="S196" i="5" s="1"/>
  <c r="X107" i="5"/>
  <c r="Y107" i="5"/>
  <c r="X141" i="5"/>
  <c r="S141" i="5" s="1"/>
  <c r="Y141" i="5"/>
  <c r="X215" i="5"/>
  <c r="Y215" i="5"/>
  <c r="X195" i="5"/>
  <c r="Y195" i="5"/>
  <c r="X61" i="5"/>
  <c r="Y61" i="5"/>
  <c r="Y190" i="5"/>
  <c r="S190" i="5" s="1"/>
  <c r="X64" i="5"/>
  <c r="Y64" i="5"/>
  <c r="X200" i="5"/>
  <c r="Y200" i="5"/>
  <c r="X194" i="5"/>
  <c r="S194" i="5" s="1"/>
  <c r="Y194" i="5"/>
  <c r="X94" i="5"/>
  <c r="S94" i="5" s="1"/>
  <c r="Y94" i="5"/>
  <c r="X137" i="5"/>
  <c r="Y137" i="5"/>
  <c r="X199" i="5"/>
  <c r="Y199" i="5"/>
  <c r="X105" i="5"/>
  <c r="S105" i="5" s="1"/>
  <c r="Y105" i="5"/>
  <c r="X179" i="5"/>
  <c r="S179" i="5" s="1"/>
  <c r="Y179" i="5"/>
  <c r="Y206" i="5"/>
  <c r="S206" i="5" s="1"/>
  <c r="X148" i="5"/>
  <c r="Y148" i="5"/>
  <c r="X153" i="5"/>
  <c r="Y153" i="5"/>
  <c r="X203" i="5"/>
  <c r="Y203" i="5"/>
  <c r="X87" i="5"/>
  <c r="S87" i="5" s="1"/>
  <c r="Y87" i="5"/>
  <c r="Y48" i="5"/>
  <c r="S48" i="5" s="1"/>
  <c r="X72" i="5"/>
  <c r="S72" i="5" s="1"/>
  <c r="Y72" i="5"/>
  <c r="Y175" i="5"/>
  <c r="S175" i="5" s="1"/>
  <c r="X90" i="5"/>
  <c r="Y90" i="5"/>
  <c r="X63" i="5"/>
  <c r="S63" i="5" s="1"/>
  <c r="Y63" i="5"/>
  <c r="X147" i="5"/>
  <c r="Y147" i="5"/>
  <c r="X53" i="5"/>
  <c r="Y53" i="5"/>
  <c r="X75" i="5"/>
  <c r="Y75" i="5"/>
  <c r="X188" i="5"/>
  <c r="S188" i="5" s="1"/>
  <c r="Y188" i="5"/>
  <c r="X106" i="5"/>
  <c r="Y106" i="5"/>
  <c r="X169" i="5"/>
  <c r="Y169" i="5"/>
  <c r="X47" i="5"/>
  <c r="Y47" i="5"/>
  <c r="X192" i="5"/>
  <c r="S192" i="5" s="1"/>
  <c r="Y192" i="5"/>
  <c r="X122" i="5"/>
  <c r="Y122" i="5"/>
  <c r="X83" i="5"/>
  <c r="Y83" i="5"/>
  <c r="X89" i="5"/>
  <c r="Y89" i="5"/>
  <c r="X174" i="5"/>
  <c r="S174" i="5" s="1"/>
  <c r="Y174" i="5"/>
  <c r="X36" i="5"/>
  <c r="Y36" i="5"/>
  <c r="X162" i="5"/>
  <c r="Y162" i="5"/>
  <c r="X70" i="5"/>
  <c r="Y70" i="5"/>
  <c r="X35" i="5"/>
  <c r="S35" i="5" s="1"/>
  <c r="Y35" i="5"/>
  <c r="X74" i="5"/>
  <c r="Y74" i="5"/>
  <c r="X111" i="5"/>
  <c r="Y111" i="5"/>
  <c r="X113" i="5"/>
  <c r="Y113" i="5"/>
  <c r="X82" i="5"/>
  <c r="S82" i="5" s="1"/>
  <c r="Y82" i="5"/>
  <c r="X139" i="5"/>
  <c r="Y139" i="5"/>
  <c r="X135" i="5"/>
  <c r="Y135" i="5"/>
  <c r="X108" i="5"/>
  <c r="Y108" i="5"/>
  <c r="X149" i="5"/>
  <c r="S149" i="5" s="1"/>
  <c r="Y149" i="5"/>
  <c r="X104" i="5"/>
  <c r="Y104" i="5"/>
  <c r="X213" i="5"/>
  <c r="Y213" i="5"/>
  <c r="X60" i="5"/>
  <c r="Y60" i="5"/>
  <c r="X121" i="5"/>
  <c r="S121" i="5" s="1"/>
  <c r="Y121" i="5"/>
  <c r="X172" i="5"/>
  <c r="Y172" i="5"/>
  <c r="X119" i="5"/>
  <c r="Y119" i="5"/>
  <c r="X126" i="5"/>
  <c r="Y126" i="5"/>
  <c r="X52" i="5"/>
  <c r="S52" i="5" s="1"/>
  <c r="Y52" i="5"/>
  <c r="X212" i="5"/>
  <c r="Y212" i="5"/>
  <c r="X96" i="5"/>
  <c r="Y96" i="5"/>
  <c r="X32" i="5"/>
  <c r="Y32" i="5"/>
  <c r="X86" i="5"/>
  <c r="S86" i="5" s="1"/>
  <c r="Y86" i="5"/>
  <c r="X118" i="5"/>
  <c r="Y118" i="5"/>
  <c r="X170" i="5"/>
  <c r="Y170" i="5"/>
  <c r="X88" i="5"/>
  <c r="Y88" i="5"/>
  <c r="X163" i="5"/>
  <c r="S163" i="5" s="1"/>
  <c r="Y163" i="5"/>
  <c r="X216" i="5"/>
  <c r="Y216" i="5"/>
  <c r="Y161" i="5"/>
  <c r="S161" i="5" s="1"/>
  <c r="X39" i="5"/>
  <c r="S39" i="5" s="1"/>
  <c r="Y39" i="5"/>
  <c r="X168" i="5"/>
  <c r="S168" i="5" s="1"/>
  <c r="Y168" i="5"/>
  <c r="X34" i="5"/>
  <c r="Y34" i="5"/>
  <c r="X208" i="5"/>
  <c r="Y208" i="5"/>
  <c r="X133" i="5"/>
  <c r="S133" i="5" s="1"/>
  <c r="Y133" i="5"/>
  <c r="X73" i="5"/>
  <c r="S73" i="5" s="1"/>
  <c r="Y73" i="5"/>
  <c r="X40" i="5"/>
  <c r="Y40" i="5"/>
  <c r="X138" i="5"/>
  <c r="Y138" i="5"/>
  <c r="X158" i="5"/>
  <c r="S158" i="5" s="1"/>
  <c r="Y158" i="5"/>
  <c r="X45" i="5"/>
  <c r="S45" i="5" s="1"/>
  <c r="Y45" i="5"/>
  <c r="X58" i="5"/>
  <c r="Y58" i="5"/>
  <c r="X167" i="5"/>
  <c r="Y167" i="5"/>
  <c r="X214" i="5"/>
  <c r="S214" i="5" s="1"/>
  <c r="Y214" i="5"/>
  <c r="X143" i="5"/>
  <c r="S143" i="5" s="1"/>
  <c r="Y143" i="5"/>
  <c r="X124" i="5"/>
  <c r="Y124" i="5"/>
  <c r="X85" i="5"/>
  <c r="Y85" i="5"/>
  <c r="X95" i="5"/>
  <c r="S95" i="5" s="1"/>
  <c r="Y95" i="5"/>
  <c r="X144" i="5"/>
  <c r="S144" i="5" s="1"/>
  <c r="Y144" i="5"/>
  <c r="Y30" i="5"/>
  <c r="X31" i="5"/>
  <c r="Y31" i="5"/>
  <c r="X66" i="5"/>
  <c r="S66" i="5" s="1"/>
  <c r="Y66" i="5"/>
  <c r="X59" i="5"/>
  <c r="S59" i="5" s="1"/>
  <c r="Y59" i="5"/>
  <c r="X150" i="5"/>
  <c r="Y150" i="5"/>
  <c r="X154" i="5"/>
  <c r="Y154" i="5"/>
  <c r="X145" i="5"/>
  <c r="S145" i="5" s="1"/>
  <c r="Y145" i="5"/>
  <c r="Y98" i="5"/>
  <c r="S98" i="5" s="1"/>
  <c r="X84" i="5"/>
  <c r="S84" i="5" s="1"/>
  <c r="Y84" i="5"/>
  <c r="X202" i="5"/>
  <c r="Y202" i="5"/>
  <c r="X193" i="5"/>
  <c r="Y193" i="5"/>
  <c r="Y198" i="5"/>
  <c r="S198" i="5" s="1"/>
  <c r="X110" i="5"/>
  <c r="S110" i="5" s="1"/>
  <c r="Y110" i="5"/>
  <c r="X44" i="5"/>
  <c r="Y44" i="5"/>
  <c r="X68" i="5"/>
  <c r="Y68" i="5"/>
  <c r="Y173" i="5"/>
  <c r="S173" i="5" s="1"/>
  <c r="Y191" i="5"/>
  <c r="S191" i="5" s="1"/>
  <c r="Y181" i="5"/>
  <c r="S181" i="5" s="1"/>
  <c r="X125" i="5"/>
  <c r="S125" i="5" s="1"/>
  <c r="Y125" i="5"/>
  <c r="X189" i="5"/>
  <c r="Y189" i="5"/>
  <c r="X120" i="5"/>
  <c r="Y120" i="5"/>
  <c r="X69" i="5"/>
  <c r="Y69" i="5"/>
  <c r="X78" i="5"/>
  <c r="S78" i="5" s="1"/>
  <c r="Y78" i="5"/>
  <c r="X176" i="5"/>
  <c r="Y176" i="5"/>
  <c r="X197" i="5"/>
  <c r="Y197" i="5"/>
  <c r="Y186" i="5"/>
  <c r="S186" i="5" s="1"/>
  <c r="X152" i="5"/>
  <c r="S152" i="5" s="1"/>
  <c r="Y152" i="5"/>
  <c r="X41" i="5"/>
  <c r="Y41" i="5"/>
  <c r="Y93" i="5"/>
  <c r="S93" i="5" s="1"/>
  <c r="X127" i="5"/>
  <c r="Y127" i="5"/>
  <c r="X146" i="5"/>
  <c r="Y146" i="5"/>
  <c r="X99" i="5"/>
  <c r="S99" i="5" s="1"/>
  <c r="Y99" i="5"/>
  <c r="X211" i="5"/>
  <c r="Y211" i="5"/>
  <c r="X37" i="5"/>
  <c r="Y37" i="5"/>
  <c r="X71" i="5"/>
  <c r="Y71" i="5"/>
  <c r="X187" i="5"/>
  <c r="S187" i="5" s="1"/>
  <c r="Y187" i="5"/>
  <c r="X29" i="5"/>
  <c r="S29" i="5" s="1"/>
  <c r="AF54" i="5"/>
  <c r="AD204" i="5"/>
  <c r="AA115" i="5"/>
  <c r="AF116" i="5"/>
  <c r="AE165" i="5"/>
  <c r="AF115" i="5"/>
  <c r="AC164" i="5"/>
  <c r="AC130" i="5"/>
  <c r="AC115" i="5"/>
  <c r="AH130" i="5"/>
  <c r="AD115" i="5"/>
  <c r="AG130" i="5"/>
  <c r="AD130" i="5"/>
  <c r="AF130" i="5"/>
  <c r="AB115" i="5"/>
  <c r="AH164" i="5"/>
  <c r="AE115" i="5"/>
  <c r="AG115" i="5"/>
  <c r="AB130" i="5"/>
  <c r="AA130" i="5"/>
  <c r="AH115" i="5"/>
  <c r="AE130" i="5"/>
  <c r="AG116" i="5"/>
  <c r="AB204" i="5"/>
  <c r="AH204" i="5"/>
  <c r="AC204" i="5"/>
  <c r="AE204" i="5"/>
  <c r="AF204" i="5"/>
  <c r="AA204" i="5"/>
  <c r="AB54" i="5"/>
  <c r="AD116" i="5"/>
  <c r="AB116" i="5"/>
  <c r="AE116" i="5"/>
  <c r="AA116" i="5"/>
  <c r="AG165" i="5"/>
  <c r="AC54" i="5"/>
  <c r="AH54" i="5"/>
  <c r="AD54" i="5"/>
  <c r="AE54" i="5"/>
  <c r="AG54" i="5"/>
  <c r="AG204" i="5"/>
  <c r="AA54" i="5"/>
  <c r="AC116" i="5"/>
  <c r="AH116" i="5"/>
  <c r="AA101" i="5"/>
  <c r="AF101" i="5"/>
  <c r="AD101" i="5"/>
  <c r="AB101" i="5"/>
  <c r="AG101" i="5"/>
  <c r="AE101" i="5"/>
  <c r="AG164" i="5"/>
  <c r="AH101" i="5"/>
  <c r="AE164" i="5"/>
  <c r="AD164" i="5"/>
  <c r="AF164" i="5"/>
  <c r="AC101" i="5"/>
  <c r="AB164" i="5"/>
  <c r="AA164" i="5"/>
  <c r="T27" i="5"/>
  <c r="AA165" i="5" l="1"/>
  <c r="S71" i="5"/>
  <c r="S146" i="5"/>
  <c r="S69" i="5"/>
  <c r="S88" i="5"/>
  <c r="S32" i="5"/>
  <c r="S126" i="5"/>
  <c r="S60" i="5"/>
  <c r="S108" i="5"/>
  <c r="S113" i="5"/>
  <c r="S70" i="5"/>
  <c r="S89" i="5"/>
  <c r="S47" i="5"/>
  <c r="S75" i="5"/>
  <c r="S90" i="5"/>
  <c r="S203" i="5"/>
  <c r="S61" i="5"/>
  <c r="S107" i="5"/>
  <c r="S65" i="5"/>
  <c r="S49" i="5"/>
  <c r="S37" i="5"/>
  <c r="S127" i="5"/>
  <c r="S197" i="5"/>
  <c r="S120" i="5"/>
  <c r="S193" i="5"/>
  <c r="S170" i="5"/>
  <c r="S96" i="5"/>
  <c r="S119" i="5"/>
  <c r="S213" i="5"/>
  <c r="S135" i="5"/>
  <c r="S111" i="5"/>
  <c r="S162" i="5"/>
  <c r="S83" i="5"/>
  <c r="S169" i="5"/>
  <c r="S53" i="5"/>
  <c r="S153" i="5"/>
  <c r="S195" i="5"/>
  <c r="S77" i="5"/>
  <c r="S184" i="5"/>
  <c r="S177" i="5"/>
  <c r="S68" i="5"/>
  <c r="S154" i="5"/>
  <c r="S31" i="5"/>
  <c r="S85" i="5"/>
  <c r="S167" i="5"/>
  <c r="S138" i="5"/>
  <c r="S208" i="5"/>
  <c r="S199" i="5"/>
  <c r="S200" i="5"/>
  <c r="S42" i="5"/>
  <c r="S79" i="5"/>
  <c r="S129" i="5"/>
  <c r="S209" i="5"/>
  <c r="S46" i="5"/>
  <c r="S55" i="5"/>
  <c r="S128" i="5"/>
  <c r="AF51" i="5"/>
  <c r="AD165" i="5"/>
  <c r="AB165" i="5"/>
  <c r="S211" i="5"/>
  <c r="S176" i="5"/>
  <c r="S189" i="5"/>
  <c r="S202" i="5"/>
  <c r="S216" i="5"/>
  <c r="S118" i="5"/>
  <c r="S212" i="5"/>
  <c r="S172" i="5"/>
  <c r="S104" i="5"/>
  <c r="S139" i="5"/>
  <c r="S74" i="5"/>
  <c r="S36" i="5"/>
  <c r="S122" i="5"/>
  <c r="S106" i="5"/>
  <c r="S147" i="5"/>
  <c r="S148" i="5"/>
  <c r="S215" i="5"/>
  <c r="S185" i="5"/>
  <c r="S201" i="5"/>
  <c r="S91" i="5"/>
  <c r="S38" i="5"/>
  <c r="AC165" i="5"/>
  <c r="AF165" i="5"/>
  <c r="S41" i="5"/>
  <c r="S44" i="5"/>
  <c r="S150" i="5"/>
  <c r="S30" i="5"/>
  <c r="S124" i="5"/>
  <c r="S58" i="5"/>
  <c r="S40" i="5"/>
  <c r="S34" i="5"/>
  <c r="S137" i="5"/>
  <c r="S64" i="5"/>
  <c r="S160" i="5"/>
  <c r="S151" i="5"/>
  <c r="S97" i="5"/>
  <c r="S50" i="5"/>
  <c r="S76" i="5"/>
  <c r="S100" i="5"/>
  <c r="S159" i="5"/>
  <c r="S109" i="5"/>
  <c r="AE142" i="5"/>
  <c r="S142" i="5"/>
  <c r="AH165" i="5"/>
  <c r="AA38" i="5"/>
  <c r="AG38" i="5"/>
  <c r="AF38" i="5"/>
  <c r="AE38" i="5"/>
  <c r="AB166" i="5"/>
  <c r="AH38" i="5"/>
  <c r="AC166" i="5"/>
  <c r="AF166" i="5"/>
  <c r="AD166" i="5"/>
  <c r="AG166" i="5"/>
  <c r="AA166" i="5"/>
  <c r="AH166" i="5"/>
  <c r="AE166" i="5"/>
  <c r="AH29" i="5"/>
  <c r="AB38" i="5"/>
  <c r="AE117" i="5"/>
  <c r="AD38" i="5"/>
  <c r="AC38" i="5"/>
  <c r="AA156" i="5"/>
  <c r="AG51" i="5"/>
  <c r="AE67" i="5"/>
  <c r="AE51" i="5"/>
  <c r="AF67" i="5"/>
  <c r="AH51" i="5"/>
  <c r="AB51" i="5"/>
  <c r="AG67" i="5"/>
  <c r="AA51" i="5"/>
  <c r="AC67" i="5"/>
  <c r="AH67" i="5"/>
  <c r="AI51" i="5"/>
  <c r="AC51" i="5"/>
  <c r="AA67" i="5"/>
  <c r="AD67" i="5"/>
  <c r="AB67" i="5"/>
  <c r="AA117" i="5"/>
  <c r="AH117" i="5"/>
  <c r="AB117" i="5"/>
  <c r="AG117" i="5"/>
  <c r="AF117" i="5"/>
  <c r="AD117" i="5"/>
  <c r="AF142" i="5"/>
  <c r="AH142" i="5"/>
  <c r="AG142" i="5"/>
  <c r="AD142" i="5"/>
  <c r="AC142" i="5"/>
  <c r="AC117" i="5"/>
  <c r="AB142" i="5"/>
  <c r="AA142" i="5"/>
  <c r="AI142" i="5"/>
  <c r="AC156" i="5"/>
  <c r="AD156" i="5"/>
  <c r="AB156" i="5"/>
  <c r="AA109" i="5"/>
  <c r="AF156" i="5"/>
  <c r="AE156" i="5"/>
  <c r="AH210" i="5"/>
  <c r="AD51" i="5"/>
  <c r="AC110" i="5"/>
  <c r="AE210" i="5"/>
  <c r="AC210" i="5"/>
  <c r="AA210" i="5"/>
  <c r="AG210" i="5"/>
  <c r="AD210" i="5"/>
  <c r="AB210" i="5"/>
  <c r="AF210" i="5"/>
  <c r="AH156" i="5"/>
  <c r="AG156" i="5"/>
  <c r="AB53" i="5"/>
  <c r="AF215" i="5"/>
  <c r="AG155" i="5"/>
  <c r="AB109" i="5"/>
  <c r="AG109" i="5"/>
  <c r="AE145" i="5"/>
  <c r="AE109" i="5"/>
  <c r="AF109" i="5"/>
  <c r="AH109" i="5"/>
  <c r="AB135" i="5"/>
  <c r="AC75" i="5"/>
  <c r="AE195" i="5"/>
  <c r="AG182" i="5"/>
  <c r="AD109" i="5"/>
  <c r="AC29" i="5"/>
  <c r="AF155" i="5"/>
  <c r="AC109" i="5"/>
  <c r="AC155" i="5"/>
  <c r="AD71" i="5"/>
  <c r="AH59" i="5"/>
  <c r="AA124" i="5"/>
  <c r="AG108" i="5"/>
  <c r="AE63" i="5"/>
  <c r="AA131" i="5"/>
  <c r="AC147" i="5"/>
  <c r="AF132" i="5"/>
  <c r="AG159" i="5"/>
  <c r="AB215" i="5"/>
  <c r="AA53" i="5"/>
  <c r="AC53" i="5"/>
  <c r="AF150" i="5"/>
  <c r="AC149" i="5"/>
  <c r="AB37" i="5"/>
  <c r="AA118" i="5"/>
  <c r="AF62" i="5"/>
  <c r="AD155" i="5"/>
  <c r="AB110" i="5"/>
  <c r="AB108" i="5"/>
  <c r="AI215" i="5"/>
  <c r="AI37" i="5"/>
  <c r="AG85" i="5"/>
  <c r="AG215" i="5"/>
  <c r="AG53" i="5"/>
  <c r="AA29" i="5"/>
  <c r="AG195" i="5"/>
  <c r="AE155" i="5"/>
  <c r="AC215" i="5"/>
  <c r="AG37" i="5"/>
  <c r="AH53" i="5"/>
  <c r="AG29" i="5"/>
  <c r="AF29" i="5"/>
  <c r="AB29" i="5"/>
  <c r="AC195" i="5"/>
  <c r="AA182" i="5"/>
  <c r="AB182" i="5"/>
  <c r="AC118" i="5"/>
  <c r="AD182" i="5"/>
  <c r="AE215" i="5"/>
  <c r="AE108" i="5"/>
  <c r="AA37" i="5"/>
  <c r="AD215" i="5"/>
  <c r="AI118" i="5"/>
  <c r="AF53" i="5"/>
  <c r="AE37" i="5"/>
  <c r="AH155" i="5"/>
  <c r="AD29" i="5"/>
  <c r="AE29" i="5"/>
  <c r="AA215" i="5"/>
  <c r="AD63" i="5"/>
  <c r="AF75" i="5"/>
  <c r="AD59" i="5"/>
  <c r="AB155" i="5"/>
  <c r="AA155" i="5"/>
  <c r="AE53" i="5"/>
  <c r="AA187" i="5"/>
  <c r="AC37" i="5"/>
  <c r="AF118" i="5"/>
  <c r="AB195" i="5"/>
  <c r="AE118" i="5"/>
  <c r="AD75" i="5"/>
  <c r="AF37" i="5"/>
  <c r="AG71" i="5"/>
  <c r="AC59" i="5"/>
  <c r="AB124" i="5"/>
  <c r="AA108" i="5"/>
  <c r="AF63" i="5"/>
  <c r="AF131" i="5"/>
  <c r="AC71" i="5"/>
  <c r="AD118" i="5"/>
  <c r="AA63" i="5"/>
  <c r="AE182" i="5"/>
  <c r="AA75" i="5"/>
  <c r="AA71" i="5"/>
  <c r="AH215" i="5"/>
  <c r="AB75" i="5"/>
  <c r="AG63" i="5"/>
  <c r="AF182" i="5"/>
  <c r="AD53" i="5"/>
  <c r="AG131" i="5"/>
  <c r="AE71" i="5"/>
  <c r="AF59" i="5"/>
  <c r="AF124" i="5"/>
  <c r="AH63" i="5"/>
  <c r="AA218" i="5"/>
  <c r="AE131" i="5"/>
  <c r="AC63" i="5"/>
  <c r="AH108" i="5"/>
  <c r="AC124" i="5"/>
  <c r="AC182" i="5"/>
  <c r="AG75" i="5"/>
  <c r="AE75" i="5"/>
  <c r="AH182" i="5"/>
  <c r="AE187" i="5"/>
  <c r="AH71" i="5"/>
  <c r="AC187" i="5"/>
  <c r="AA85" i="5"/>
  <c r="AB149" i="5"/>
  <c r="AG149" i="5"/>
  <c r="AH124" i="5"/>
  <c r="AC131" i="5"/>
  <c r="AF187" i="5"/>
  <c r="AD187" i="5"/>
  <c r="AB71" i="5"/>
  <c r="AG124" i="5"/>
  <c r="AA149" i="5"/>
  <c r="AH75" i="5"/>
  <c r="AH118" i="5"/>
  <c r="AF149" i="5"/>
  <c r="AD149" i="5"/>
  <c r="AH37" i="5"/>
  <c r="AB59" i="5"/>
  <c r="AD135" i="5"/>
  <c r="AF108" i="5"/>
  <c r="AH149" i="5"/>
  <c r="AD195" i="5"/>
  <c r="AH195" i="5"/>
  <c r="AI149" i="5"/>
  <c r="AA147" i="5"/>
  <c r="AB132" i="5"/>
  <c r="AB187" i="5"/>
  <c r="AH131" i="5"/>
  <c r="AE59" i="5"/>
  <c r="AA59" i="5"/>
  <c r="AD131" i="5"/>
  <c r="AD108" i="5"/>
  <c r="AG187" i="5"/>
  <c r="AG118" i="5"/>
  <c r="AC108" i="5"/>
  <c r="AE149" i="5"/>
  <c r="AD37" i="5"/>
  <c r="AG59" i="5"/>
  <c r="AI124" i="5"/>
  <c r="AB131" i="5"/>
  <c r="AH187" i="5"/>
  <c r="AE124" i="5"/>
  <c r="AB63" i="5"/>
  <c r="AF71" i="5"/>
  <c r="AB118" i="5"/>
  <c r="AA195" i="5"/>
  <c r="AF195" i="5"/>
  <c r="AG132" i="5"/>
  <c r="AF218" i="5"/>
  <c r="AF135" i="5"/>
  <c r="AC132" i="5"/>
  <c r="AH110" i="5"/>
  <c r="AA110" i="5"/>
  <c r="AE147" i="5"/>
  <c r="AI147" i="5"/>
  <c r="AF85" i="5"/>
  <c r="AH218" i="5"/>
  <c r="AE85" i="5"/>
  <c r="AG135" i="5"/>
  <c r="AH150" i="5"/>
  <c r="AD110" i="5"/>
  <c r="AG110" i="5"/>
  <c r="AD150" i="5"/>
  <c r="AD147" i="5"/>
  <c r="AA150" i="5"/>
  <c r="AG218" i="5"/>
  <c r="AC85" i="5"/>
  <c r="AC135" i="5"/>
  <c r="AA132" i="5"/>
  <c r="AC150" i="5"/>
  <c r="AB85" i="5"/>
  <c r="AE110" i="5"/>
  <c r="AH85" i="5"/>
  <c r="AE150" i="5"/>
  <c r="AF110" i="5"/>
  <c r="AD126" i="5"/>
  <c r="AB126" i="5"/>
  <c r="AE126" i="5"/>
  <c r="AH126" i="5"/>
  <c r="AF126" i="5"/>
  <c r="AG126" i="5"/>
  <c r="AA126" i="5"/>
  <c r="AC126" i="5"/>
  <c r="AE132" i="5"/>
  <c r="AH147" i="5"/>
  <c r="AE218" i="5"/>
  <c r="AD85" i="5"/>
  <c r="AH135" i="5"/>
  <c r="AD132" i="5"/>
  <c r="AG147" i="5"/>
  <c r="AG150" i="5"/>
  <c r="AE135" i="5"/>
  <c r="AB218" i="5"/>
  <c r="AA135" i="5"/>
  <c r="AI135" i="5"/>
  <c r="AB150" i="5"/>
  <c r="AB147" i="5"/>
  <c r="AD124" i="5"/>
  <c r="AH132" i="5"/>
  <c r="AF147" i="5"/>
  <c r="AC218" i="5"/>
  <c r="AD218" i="5"/>
  <c r="AF170" i="5"/>
  <c r="AG72" i="5"/>
  <c r="AH65" i="5"/>
  <c r="AD177" i="5"/>
  <c r="AB192" i="5"/>
  <c r="AH122" i="5"/>
  <c r="AH74" i="5"/>
  <c r="AH134" i="5"/>
  <c r="AC143" i="5"/>
  <c r="AE106" i="5"/>
  <c r="AF216" i="5"/>
  <c r="AB40" i="5"/>
  <c r="AB88" i="5"/>
  <c r="AC65" i="5"/>
  <c r="AH163" i="5"/>
  <c r="AH103" i="5"/>
  <c r="AB68" i="5"/>
  <c r="AE213" i="5"/>
  <c r="AB134" i="5"/>
  <c r="AF157" i="5"/>
  <c r="AA106" i="5"/>
  <c r="AA86" i="5"/>
  <c r="AA203" i="5"/>
  <c r="AC127" i="5"/>
  <c r="AA78" i="5"/>
  <c r="AF45" i="5"/>
  <c r="AC74" i="5"/>
  <c r="AE158" i="5"/>
  <c r="AB143" i="5"/>
  <c r="AG134" i="5"/>
  <c r="AF95" i="5"/>
  <c r="AG122" i="5"/>
  <c r="AF151" i="5"/>
  <c r="AG77" i="5"/>
  <c r="AH86" i="5"/>
  <c r="AG74" i="5"/>
  <c r="AB119" i="5"/>
  <c r="AA74" i="5"/>
  <c r="AE103" i="5"/>
  <c r="AB160" i="5"/>
  <c r="AF104" i="5"/>
  <c r="AG209" i="5"/>
  <c r="AD122" i="5"/>
  <c r="AE74" i="5"/>
  <c r="AF76" i="5"/>
  <c r="AF197" i="5"/>
  <c r="AE202" i="5"/>
  <c r="AF48" i="5"/>
  <c r="AC168" i="5"/>
  <c r="AF137" i="5"/>
  <c r="AG200" i="5"/>
  <c r="AB76" i="5"/>
  <c r="AC170" i="5"/>
  <c r="AA32" i="5"/>
  <c r="AB153" i="5"/>
  <c r="AI36" i="5"/>
  <c r="AG106" i="5"/>
  <c r="AB41" i="5"/>
  <c r="AA143" i="5"/>
  <c r="AB189" i="5"/>
  <c r="AD134" i="5"/>
  <c r="AB97" i="5"/>
  <c r="AE151" i="5"/>
  <c r="AB122" i="5"/>
  <c r="AH158" i="5"/>
  <c r="AA103" i="5"/>
  <c r="AE84" i="5"/>
  <c r="AH76" i="5"/>
  <c r="AE180" i="5"/>
  <c r="AC70" i="5"/>
  <c r="AF122" i="5"/>
  <c r="AC97" i="5"/>
  <c r="AG162" i="5"/>
  <c r="AB202" i="5"/>
  <c r="AC193" i="5"/>
  <c r="AE97" i="5"/>
  <c r="AB200" i="5"/>
  <c r="AE48" i="5"/>
  <c r="AH170" i="5"/>
  <c r="AH159" i="5"/>
  <c r="AH70" i="5"/>
  <c r="AF98" i="5"/>
  <c r="AG213" i="5"/>
  <c r="AF196" i="5"/>
  <c r="AC106" i="5"/>
  <c r="AI46" i="5"/>
  <c r="AD180" i="5"/>
  <c r="AC207" i="5"/>
  <c r="AB96" i="5"/>
  <c r="AA180" i="5"/>
  <c r="AF106" i="5"/>
  <c r="AH180" i="5"/>
  <c r="AE159" i="5"/>
  <c r="AC180" i="5"/>
  <c r="AB158" i="5"/>
  <c r="AD45" i="5"/>
  <c r="AF97" i="5"/>
  <c r="AD106" i="5"/>
  <c r="AB106" i="5"/>
  <c r="AA152" i="5"/>
  <c r="AG57" i="5"/>
  <c r="AG95" i="5"/>
  <c r="AG146" i="5"/>
  <c r="AB74" i="5"/>
  <c r="AH35" i="5"/>
  <c r="AB94" i="5"/>
  <c r="AI94" i="5"/>
  <c r="AH112" i="5"/>
  <c r="AG112" i="5"/>
  <c r="AB144" i="5"/>
  <c r="AC144" i="5"/>
  <c r="AD144" i="5"/>
  <c r="AA184" i="5"/>
  <c r="AH201" i="5"/>
  <c r="AG201" i="5"/>
  <c r="AE178" i="5"/>
  <c r="AB178" i="5"/>
  <c r="AG178" i="5"/>
  <c r="AC178" i="5"/>
  <c r="AA178" i="5"/>
  <c r="Z27" i="5"/>
  <c r="AC192" i="5"/>
  <c r="AE203" i="5"/>
  <c r="AA56" i="5"/>
  <c r="AF73" i="5"/>
  <c r="AG73" i="5"/>
  <c r="AF64" i="5"/>
  <c r="AE64" i="5"/>
  <c r="AH64" i="5"/>
  <c r="AC194" i="5"/>
  <c r="AH194" i="5"/>
  <c r="AE191" i="5"/>
  <c r="AG191" i="5"/>
  <c r="AF189" i="5"/>
  <c r="AC203" i="5"/>
  <c r="AF72" i="5"/>
  <c r="AB36" i="5"/>
  <c r="AB32" i="5"/>
  <c r="AE78" i="5"/>
  <c r="AI144" i="5"/>
  <c r="AH197" i="5"/>
  <c r="AH203" i="5"/>
  <c r="AG84" i="5"/>
  <c r="AC119" i="5"/>
  <c r="AH78" i="5"/>
  <c r="AH189" i="5"/>
  <c r="AB64" i="5"/>
  <c r="AC94" i="5"/>
  <c r="AF144" i="5"/>
  <c r="AH125" i="5"/>
  <c r="AG125" i="5"/>
  <c r="AD125" i="5"/>
  <c r="AA179" i="5"/>
  <c r="AC158" i="5"/>
  <c r="AA168" i="5"/>
  <c r="AD190" i="5"/>
  <c r="AA190" i="5"/>
  <c r="AB56" i="5"/>
  <c r="AC56" i="5"/>
  <c r="AH127" i="5"/>
  <c r="AF127" i="5"/>
  <c r="AG127" i="5"/>
  <c r="AA127" i="5"/>
  <c r="AB69" i="5"/>
  <c r="AE69" i="5"/>
  <c r="AH144" i="5"/>
  <c r="AI141" i="5"/>
  <c r="AB141" i="5"/>
  <c r="AG177" i="5"/>
  <c r="AC177" i="5"/>
  <c r="AH177" i="5"/>
  <c r="AA177" i="5"/>
  <c r="AH102" i="5"/>
  <c r="AA102" i="5"/>
  <c r="AC102" i="5"/>
  <c r="AF102" i="5"/>
  <c r="AB102" i="5"/>
  <c r="AH92" i="5"/>
  <c r="AA92" i="5"/>
  <c r="AG189" i="5"/>
  <c r="AE102" i="5"/>
  <c r="AE87" i="5"/>
  <c r="AD87" i="5"/>
  <c r="AA137" i="5"/>
  <c r="AD137" i="5"/>
  <c r="AE137" i="5"/>
  <c r="AC137" i="5"/>
  <c r="AH137" i="5"/>
  <c r="AI137" i="5"/>
  <c r="AG137" i="5"/>
  <c r="AA70" i="5"/>
  <c r="AD70" i="5"/>
  <c r="AG70" i="5"/>
  <c r="AC61" i="5"/>
  <c r="AF61" i="5"/>
  <c r="AH211" i="5"/>
  <c r="AC120" i="5"/>
  <c r="AE120" i="5"/>
  <c r="AF120" i="5"/>
  <c r="AB120" i="5"/>
  <c r="AE144" i="5"/>
  <c r="AG144" i="5"/>
  <c r="AE104" i="5"/>
  <c r="AB136" i="5"/>
  <c r="AD73" i="5"/>
  <c r="AI64" i="5"/>
  <c r="AC88" i="5"/>
  <c r="AB112" i="5"/>
  <c r="AH184" i="5"/>
  <c r="AE193" i="5"/>
  <c r="AD102" i="5"/>
  <c r="AE154" i="5"/>
  <c r="AG138" i="5"/>
  <c r="AA73" i="5"/>
  <c r="AD94" i="5"/>
  <c r="AE70" i="5"/>
  <c r="AC184" i="5"/>
  <c r="AF193" i="5"/>
  <c r="AC87" i="5"/>
  <c r="AA158" i="5"/>
  <c r="AF88" i="5"/>
  <c r="AH46" i="5"/>
  <c r="AG185" i="5"/>
  <c r="AB216" i="5"/>
  <c r="AA201" i="5"/>
  <c r="AF177" i="5"/>
  <c r="AC76" i="5"/>
  <c r="AE94" i="5"/>
  <c r="AE41" i="5"/>
  <c r="AC83" i="5"/>
  <c r="AH32" i="5"/>
  <c r="AI32" i="5"/>
  <c r="AB65" i="5"/>
  <c r="AG103" i="5"/>
  <c r="AD112" i="5"/>
  <c r="AE86" i="5"/>
  <c r="AE129" i="5"/>
  <c r="AB183" i="5"/>
  <c r="AH172" i="5"/>
  <c r="AG217" i="5"/>
  <c r="AD49" i="5"/>
  <c r="AF32" i="5"/>
  <c r="AE47" i="5"/>
  <c r="AB83" i="5"/>
  <c r="AH83" i="5"/>
  <c r="AH106" i="5"/>
  <c r="AE83" i="5"/>
  <c r="AD159" i="5"/>
  <c r="AA35" i="5"/>
  <c r="AG158" i="5"/>
  <c r="AF65" i="5"/>
  <c r="AE61" i="5"/>
  <c r="AD60" i="5"/>
  <c r="AA68" i="5"/>
  <c r="AF136" i="5"/>
  <c r="AE92" i="5"/>
  <c r="AE36" i="5"/>
  <c r="AH40" i="5"/>
  <c r="AB207" i="5"/>
  <c r="AF78" i="5"/>
  <c r="AA216" i="5"/>
  <c r="AC123" i="5"/>
  <c r="AF56" i="5"/>
  <c r="AH57" i="5"/>
  <c r="AC163" i="5"/>
  <c r="AE162" i="5"/>
  <c r="AC159" i="5"/>
  <c r="AB159" i="5"/>
  <c r="AC69" i="5"/>
  <c r="AF46" i="5"/>
  <c r="AA200" i="5"/>
  <c r="AE160" i="5"/>
  <c r="AA207" i="5"/>
  <c r="AD207" i="5"/>
  <c r="AD48" i="5"/>
  <c r="AI84" i="5"/>
  <c r="AD84" i="5"/>
  <c r="AB84" i="5"/>
  <c r="AB78" i="5"/>
  <c r="AG92" i="5"/>
  <c r="AB46" i="5"/>
  <c r="AC57" i="5"/>
  <c r="AC44" i="5"/>
  <c r="AH200" i="5"/>
  <c r="AA138" i="5"/>
  <c r="AF158" i="5"/>
  <c r="AB138" i="5"/>
  <c r="AC48" i="5"/>
  <c r="AC213" i="5"/>
  <c r="AF57" i="5"/>
  <c r="AG163" i="5"/>
  <c r="AC84" i="5"/>
  <c r="AG61" i="5"/>
  <c r="AA159" i="5"/>
  <c r="AC78" i="5"/>
  <c r="AA76" i="5"/>
  <c r="AF92" i="5"/>
  <c r="AE184" i="5"/>
  <c r="AC216" i="5"/>
  <c r="AD69" i="5"/>
  <c r="AD46" i="5"/>
  <c r="AD201" i="5"/>
  <c r="AA48" i="5"/>
  <c r="AH68" i="5"/>
  <c r="AD72" i="5"/>
  <c r="AD61" i="5"/>
  <c r="AB201" i="5"/>
  <c r="AE134" i="5"/>
  <c r="AF178" i="5"/>
  <c r="AF211" i="5"/>
  <c r="AC64" i="5"/>
  <c r="AA189" i="5"/>
  <c r="AG184" i="5"/>
  <c r="AD143" i="5"/>
  <c r="AH213" i="5"/>
  <c r="AC196" i="5"/>
  <c r="AA162" i="5"/>
  <c r="AC138" i="5"/>
  <c r="AC72" i="5"/>
  <c r="AA196" i="5"/>
  <c r="AG46" i="5"/>
  <c r="AD86" i="5"/>
  <c r="AA170" i="5"/>
  <c r="AC191" i="5"/>
  <c r="AH72" i="5"/>
  <c r="AF140" i="5"/>
  <c r="AC188" i="5"/>
  <c r="AE185" i="5"/>
  <c r="AA191" i="5"/>
  <c r="AG36" i="5"/>
  <c r="AH89" i="5"/>
  <c r="AD191" i="5"/>
  <c r="AE163" i="5"/>
  <c r="AE76" i="5"/>
  <c r="AF163" i="5"/>
  <c r="AB170" i="5"/>
  <c r="AB58" i="5"/>
  <c r="AB217" i="5"/>
  <c r="AD57" i="5"/>
  <c r="AB163" i="5"/>
  <c r="AE45" i="5"/>
  <c r="AG76" i="5"/>
  <c r="AH216" i="5"/>
  <c r="AC129" i="5"/>
  <c r="AB47" i="5"/>
  <c r="AG136" i="5"/>
  <c r="AF47" i="5"/>
  <c r="AB152" i="5"/>
  <c r="AA163" i="5"/>
  <c r="AF213" i="5"/>
  <c r="AA192" i="5"/>
  <c r="AD138" i="5"/>
  <c r="AA84" i="5"/>
  <c r="AE57" i="5"/>
  <c r="AF159" i="5"/>
  <c r="AD78" i="5"/>
  <c r="AC92" i="5"/>
  <c r="AD92" i="5"/>
  <c r="AH69" i="5"/>
  <c r="AG216" i="5"/>
  <c r="AD162" i="5"/>
  <c r="AF69" i="5"/>
  <c r="AI188" i="5"/>
  <c r="AA46" i="5"/>
  <c r="AD184" i="5"/>
  <c r="AI78" i="5"/>
  <c r="AG48" i="5"/>
  <c r="AD200" i="5"/>
  <c r="AD213" i="5"/>
  <c r="AD216" i="5"/>
  <c r="AF145" i="5"/>
  <c r="AB151" i="5"/>
  <c r="AA145" i="5"/>
  <c r="AE125" i="5"/>
  <c r="AE65" i="5"/>
  <c r="AA88" i="5"/>
  <c r="AB70" i="5"/>
  <c r="AG153" i="5"/>
  <c r="AE122" i="5"/>
  <c r="AD120" i="5"/>
  <c r="AA97" i="5"/>
  <c r="AH73" i="5"/>
  <c r="AI196" i="5"/>
  <c r="AC36" i="5"/>
  <c r="AF84" i="5"/>
  <c r="AE216" i="5"/>
  <c r="AE46" i="5"/>
  <c r="AF192" i="5"/>
  <c r="AD36" i="5"/>
  <c r="AG170" i="5"/>
  <c r="AB181" i="5"/>
  <c r="AA93" i="5"/>
  <c r="AE192" i="5"/>
  <c r="AE196" i="5"/>
  <c r="AG78" i="5"/>
  <c r="AB92" i="5"/>
  <c r="AE138" i="5"/>
  <c r="AA96" i="5"/>
  <c r="AG196" i="5"/>
  <c r="AA36" i="5"/>
  <c r="AH196" i="5"/>
  <c r="AI69" i="5"/>
  <c r="AB79" i="5"/>
  <c r="AC217" i="5"/>
  <c r="AF191" i="5"/>
  <c r="AH191" i="5"/>
  <c r="AE170" i="5"/>
  <c r="AC200" i="5"/>
  <c r="AD56" i="5"/>
  <c r="AG69" i="5"/>
  <c r="AA69" i="5"/>
  <c r="AC46" i="5"/>
  <c r="AB61" i="5"/>
  <c r="AG151" i="5"/>
  <c r="AC160" i="5"/>
  <c r="AI56" i="5"/>
  <c r="AE136" i="5"/>
  <c r="AC68" i="5"/>
  <c r="AC162" i="5"/>
  <c r="AE89" i="5"/>
  <c r="AA144" i="5"/>
  <c r="AF52" i="5"/>
  <c r="AG52" i="5"/>
  <c r="AE52" i="5"/>
  <c r="AD52" i="5"/>
  <c r="AB52" i="5"/>
  <c r="AC52" i="5"/>
  <c r="AH52" i="5"/>
  <c r="AA52" i="5"/>
  <c r="AG179" i="5"/>
  <c r="AH179" i="5"/>
  <c r="AF179" i="5"/>
  <c r="AC179" i="5"/>
  <c r="AB179" i="5"/>
  <c r="AD179" i="5"/>
  <c r="AD80" i="5"/>
  <c r="AC80" i="5"/>
  <c r="AB80" i="5"/>
  <c r="AA80" i="5"/>
  <c r="AH80" i="5"/>
  <c r="AF80" i="5"/>
  <c r="AF100" i="5"/>
  <c r="AE100" i="5"/>
  <c r="AD100" i="5"/>
  <c r="AA100" i="5"/>
  <c r="AC100" i="5"/>
  <c r="AB100" i="5"/>
  <c r="AG100" i="5"/>
  <c r="AA40" i="5"/>
  <c r="AF173" i="5"/>
  <c r="AB173" i="5"/>
  <c r="AC173" i="5"/>
  <c r="AA173" i="5"/>
  <c r="AH173" i="5"/>
  <c r="AE173" i="5"/>
  <c r="AG173" i="5"/>
  <c r="AD173" i="5"/>
  <c r="AH77" i="5"/>
  <c r="AE77" i="5"/>
  <c r="AI77" i="5"/>
  <c r="AF77" i="5"/>
  <c r="AA77" i="5"/>
  <c r="AC77" i="5"/>
  <c r="AB77" i="5"/>
  <c r="Y27" i="5"/>
  <c r="AD154" i="5"/>
  <c r="AB105" i="5"/>
  <c r="AF105" i="5"/>
  <c r="AD105" i="5"/>
  <c r="AH105" i="5"/>
  <c r="AG105" i="5"/>
  <c r="AE105" i="5"/>
  <c r="AC105" i="5"/>
  <c r="AA105" i="5"/>
  <c r="AF43" i="5"/>
  <c r="AB43" i="5"/>
  <c r="AH43" i="5"/>
  <c r="AC43" i="5"/>
  <c r="AI43" i="5"/>
  <c r="AE43" i="5"/>
  <c r="AA43" i="5"/>
  <c r="AD43" i="5"/>
  <c r="AG43" i="5"/>
  <c r="AB186" i="5"/>
  <c r="AE186" i="5"/>
  <c r="AF186" i="5"/>
  <c r="AD186" i="5"/>
  <c r="AA186" i="5"/>
  <c r="AH186" i="5"/>
  <c r="AC186" i="5"/>
  <c r="AG186" i="5"/>
  <c r="AD214" i="5"/>
  <c r="AH214" i="5"/>
  <c r="AB214" i="5"/>
  <c r="AI214" i="5"/>
  <c r="AG214" i="5"/>
  <c r="AE214" i="5"/>
  <c r="AF214" i="5"/>
  <c r="AB114" i="5"/>
  <c r="AA114" i="5"/>
  <c r="AD114" i="5"/>
  <c r="AE114" i="5"/>
  <c r="AG114" i="5"/>
  <c r="AE199" i="5"/>
  <c r="AH199" i="5"/>
  <c r="AG199" i="5"/>
  <c r="AA199" i="5"/>
  <c r="AF199" i="5"/>
  <c r="AC199" i="5"/>
  <c r="AH42" i="5"/>
  <c r="AA55" i="5"/>
  <c r="AE55" i="5"/>
  <c r="AG55" i="5"/>
  <c r="AC55" i="5"/>
  <c r="AD55" i="5"/>
  <c r="AF55" i="5"/>
  <c r="AH55" i="5"/>
  <c r="AC79" i="5"/>
  <c r="AF79" i="5"/>
  <c r="AG79" i="5"/>
  <c r="AA79" i="5"/>
  <c r="AH79" i="5"/>
  <c r="AE79" i="5"/>
  <c r="AD129" i="5"/>
  <c r="AA146" i="5"/>
  <c r="AH140" i="5"/>
  <c r="AF185" i="5"/>
  <c r="AB42" i="5"/>
  <c r="AE140" i="5"/>
  <c r="AC114" i="5"/>
  <c r="AD77" i="5"/>
  <c r="AE123" i="5"/>
  <c r="AA123" i="5"/>
  <c r="AD123" i="5"/>
  <c r="AF123" i="5"/>
  <c r="AG123" i="5"/>
  <c r="AH123" i="5"/>
  <c r="AF181" i="5"/>
  <c r="AD181" i="5"/>
  <c r="AA181" i="5"/>
  <c r="AH181" i="5"/>
  <c r="AE181" i="5"/>
  <c r="AG181" i="5"/>
  <c r="AA91" i="5"/>
  <c r="AH91" i="5"/>
  <c r="AG169" i="5"/>
  <c r="AD169" i="5"/>
  <c r="AF169" i="5"/>
  <c r="AC169" i="5"/>
  <c r="AA169" i="5"/>
  <c r="AE169" i="5"/>
  <c r="AB169" i="5"/>
  <c r="AH169" i="5"/>
  <c r="AA185" i="5"/>
  <c r="AB185" i="5"/>
  <c r="AD185" i="5"/>
  <c r="AH185" i="5"/>
  <c r="AC185" i="5"/>
  <c r="AD199" i="5"/>
  <c r="AF172" i="5"/>
  <c r="AG172" i="5"/>
  <c r="AA172" i="5"/>
  <c r="AB172" i="5"/>
  <c r="AE172" i="5"/>
  <c r="AD172" i="5"/>
  <c r="AE152" i="5"/>
  <c r="AF152" i="5"/>
  <c r="AG152" i="5"/>
  <c r="AD152" i="5"/>
  <c r="AH152" i="5"/>
  <c r="AG42" i="5"/>
  <c r="AC181" i="5"/>
  <c r="AB49" i="5"/>
  <c r="AA209" i="5"/>
  <c r="AH114" i="5"/>
  <c r="AF44" i="5"/>
  <c r="AF146" i="5"/>
  <c r="AC172" i="5"/>
  <c r="AD140" i="5"/>
  <c r="AA140" i="5"/>
  <c r="AC140" i="5"/>
  <c r="AB140" i="5"/>
  <c r="AG140" i="5"/>
  <c r="AG188" i="5"/>
  <c r="AF188" i="5"/>
  <c r="AH188" i="5"/>
  <c r="AE188" i="5"/>
  <c r="AD188" i="5"/>
  <c r="AA188" i="5"/>
  <c r="AB188" i="5"/>
  <c r="AE113" i="5"/>
  <c r="AF113" i="5"/>
  <c r="AC113" i="5"/>
  <c r="AH113" i="5"/>
  <c r="AD113" i="5"/>
  <c r="AG113" i="5"/>
  <c r="AB113" i="5"/>
  <c r="AA113" i="5"/>
  <c r="AD40" i="5"/>
  <c r="AE40" i="5"/>
  <c r="AI40" i="5"/>
  <c r="AF40" i="5"/>
  <c r="AG40" i="5"/>
  <c r="AC40" i="5"/>
  <c r="AB33" i="5"/>
  <c r="AG33" i="5"/>
  <c r="AH33" i="5"/>
  <c r="AD33" i="5"/>
  <c r="AF33" i="5"/>
  <c r="AC33" i="5"/>
  <c r="AE33" i="5"/>
  <c r="AA33" i="5"/>
  <c r="AI33" i="5"/>
  <c r="AH100" i="5"/>
  <c r="AE80" i="5"/>
  <c r="AE179" i="5"/>
  <c r="AA214" i="5"/>
  <c r="AB123" i="5"/>
  <c r="AD58" i="5"/>
  <c r="AC58" i="5"/>
  <c r="AI58" i="5"/>
  <c r="AE58" i="5"/>
  <c r="AF58" i="5"/>
  <c r="AG58" i="5"/>
  <c r="AA58" i="5"/>
  <c r="AC96" i="5"/>
  <c r="AD96" i="5"/>
  <c r="AE96" i="5"/>
  <c r="AF96" i="5"/>
  <c r="AG96" i="5"/>
  <c r="AH96" i="5"/>
  <c r="AE111" i="5"/>
  <c r="AC111" i="5"/>
  <c r="AF111" i="5"/>
  <c r="AB111" i="5"/>
  <c r="AD111" i="5"/>
  <c r="AG111" i="5"/>
  <c r="AA111" i="5"/>
  <c r="AH111" i="5"/>
  <c r="AI217" i="5"/>
  <c r="AA217" i="5"/>
  <c r="AD217" i="5"/>
  <c r="AF217" i="5"/>
  <c r="AH217" i="5"/>
  <c r="AE217" i="5"/>
  <c r="AB93" i="5"/>
  <c r="AG93" i="5"/>
  <c r="AE93" i="5"/>
  <c r="AD93" i="5"/>
  <c r="AC93" i="5"/>
  <c r="AH93" i="5"/>
  <c r="AF93" i="5"/>
  <c r="AI93" i="5"/>
  <c r="AG80" i="5"/>
  <c r="AC42" i="5"/>
  <c r="AB81" i="5"/>
  <c r="AA81" i="5"/>
  <c r="AC81" i="5"/>
  <c r="AF81" i="5"/>
  <c r="AG81" i="5"/>
  <c r="AD81" i="5"/>
  <c r="AE81" i="5"/>
  <c r="AH81" i="5"/>
  <c r="AG44" i="5"/>
  <c r="AD44" i="5"/>
  <c r="AB44" i="5"/>
  <c r="AE44" i="5"/>
  <c r="AA44" i="5"/>
  <c r="AI44" i="5"/>
  <c r="AB212" i="5"/>
  <c r="AH212" i="5"/>
  <c r="AE212" i="5"/>
  <c r="AA212" i="5"/>
  <c r="AF212" i="5"/>
  <c r="AC212" i="5"/>
  <c r="AD212" i="5"/>
  <c r="AG212" i="5"/>
  <c r="AC157" i="5"/>
  <c r="AH183" i="5"/>
  <c r="AA202" i="5"/>
  <c r="AH209" i="5"/>
  <c r="AC176" i="5"/>
  <c r="AF114" i="5"/>
  <c r="AH58" i="5"/>
  <c r="AB199" i="5"/>
  <c r="AG49" i="5"/>
  <c r="AD209" i="5"/>
  <c r="AH44" i="5"/>
  <c r="AC152" i="5"/>
  <c r="AC214" i="5"/>
  <c r="AB55" i="5"/>
  <c r="AD79" i="5"/>
  <c r="AF154" i="5"/>
  <c r="AB154" i="5"/>
  <c r="AC154" i="5"/>
  <c r="AH154" i="5"/>
  <c r="AG154" i="5"/>
  <c r="AG174" i="5"/>
  <c r="AC174" i="5"/>
  <c r="AB174" i="5"/>
  <c r="AH49" i="5"/>
  <c r="AA174" i="5"/>
  <c r="AC209" i="5"/>
  <c r="AH61" i="5"/>
  <c r="AF129" i="5"/>
  <c r="AH202" i="5"/>
  <c r="AE32" i="5"/>
  <c r="AF125" i="5"/>
  <c r="AH129" i="5"/>
  <c r="AB35" i="5"/>
  <c r="AA65" i="5"/>
  <c r="AE201" i="5"/>
  <c r="AC125" i="5"/>
  <c r="AF119" i="5"/>
  <c r="AC89" i="5"/>
  <c r="AF176" i="5"/>
  <c r="AH168" i="5"/>
  <c r="AD176" i="5"/>
  <c r="AF141" i="5"/>
  <c r="AH141" i="5"/>
  <c r="AE141" i="5"/>
  <c r="AA141" i="5"/>
  <c r="AG141" i="5"/>
  <c r="AE112" i="5"/>
  <c r="AG180" i="5"/>
  <c r="AB180" i="5"/>
  <c r="AE190" i="5"/>
  <c r="AH190" i="5"/>
  <c r="AF190" i="5"/>
  <c r="AC190" i="5"/>
  <c r="AB190" i="5"/>
  <c r="AG190" i="5"/>
  <c r="AD175" i="5"/>
  <c r="AG175" i="5"/>
  <c r="AB175" i="5"/>
  <c r="AE175" i="5"/>
  <c r="AC175" i="5"/>
  <c r="AA175" i="5"/>
  <c r="AH175" i="5"/>
  <c r="AF175" i="5"/>
  <c r="AD32" i="5"/>
  <c r="AA94" i="5"/>
  <c r="AE35" i="5"/>
  <c r="AG194" i="5"/>
  <c r="AA194" i="5"/>
  <c r="AE119" i="5"/>
  <c r="AH119" i="5"/>
  <c r="AC121" i="5"/>
  <c r="AA121" i="5"/>
  <c r="AH121" i="5"/>
  <c r="AE121" i="5"/>
  <c r="AG121" i="5"/>
  <c r="AB121" i="5"/>
  <c r="AD121" i="5"/>
  <c r="AF121" i="5"/>
  <c r="AB128" i="5"/>
  <c r="AH128" i="5"/>
  <c r="AG128" i="5"/>
  <c r="AD128" i="5"/>
  <c r="AE128" i="5"/>
  <c r="AA128" i="5"/>
  <c r="AF128" i="5"/>
  <c r="AC128" i="5"/>
  <c r="AC206" i="5"/>
  <c r="AH206" i="5"/>
  <c r="AE206" i="5"/>
  <c r="AG206" i="5"/>
  <c r="AB206" i="5"/>
  <c r="AD206" i="5"/>
  <c r="AA206" i="5"/>
  <c r="AF206" i="5"/>
  <c r="AG98" i="5"/>
  <c r="AC98" i="5"/>
  <c r="AH98" i="5"/>
  <c r="AA98" i="5"/>
  <c r="AE98" i="5"/>
  <c r="AA45" i="5"/>
  <c r="AH31" i="5"/>
  <c r="AA31" i="5"/>
  <c r="AE31" i="5"/>
  <c r="AF31" i="5"/>
  <c r="AD31" i="5"/>
  <c r="AG31" i="5"/>
  <c r="AC31" i="5"/>
  <c r="AB31" i="5"/>
  <c r="AA47" i="5"/>
  <c r="AH47" i="5"/>
  <c r="AC47" i="5"/>
  <c r="AD47" i="5"/>
  <c r="AG47" i="5"/>
  <c r="AC34" i="5"/>
  <c r="AF34" i="5"/>
  <c r="AE34" i="5"/>
  <c r="AH34" i="5"/>
  <c r="AG34" i="5"/>
  <c r="AB34" i="5"/>
  <c r="AI34" i="5"/>
  <c r="AD34" i="5"/>
  <c r="AA34" i="5"/>
  <c r="AD91" i="5"/>
  <c r="AG91" i="5"/>
  <c r="AC91" i="5"/>
  <c r="AG60" i="5"/>
  <c r="AI42" i="5"/>
  <c r="AF94" i="5"/>
  <c r="AE91" i="5"/>
  <c r="AF133" i="5"/>
  <c r="AA133" i="5"/>
  <c r="AH133" i="5"/>
  <c r="AE133" i="5"/>
  <c r="AD133" i="5"/>
  <c r="AB133" i="5"/>
  <c r="AC133" i="5"/>
  <c r="AG133" i="5"/>
  <c r="AA208" i="5"/>
  <c r="AE208" i="5"/>
  <c r="AC208" i="5"/>
  <c r="AB208" i="5"/>
  <c r="AF208" i="5"/>
  <c r="AH208" i="5"/>
  <c r="AD208" i="5"/>
  <c r="AG208" i="5"/>
  <c r="AC62" i="5"/>
  <c r="AH62" i="5"/>
  <c r="AD62" i="5"/>
  <c r="AE62" i="5"/>
  <c r="AG62" i="5"/>
  <c r="AB62" i="5"/>
  <c r="AE183" i="5"/>
  <c r="AA64" i="5"/>
  <c r="AC41" i="5"/>
  <c r="AA89" i="5"/>
  <c r="AC122" i="5"/>
  <c r="AC183" i="5"/>
  <c r="AE88" i="5"/>
  <c r="AA183" i="5"/>
  <c r="AC45" i="5"/>
  <c r="AG45" i="5"/>
  <c r="AH97" i="5"/>
  <c r="AB162" i="5"/>
  <c r="AH120" i="5"/>
  <c r="AC134" i="5"/>
  <c r="AA49" i="5"/>
  <c r="AE189" i="5"/>
  <c r="AC32" i="5"/>
  <c r="AG129" i="5"/>
  <c r="AF49" i="5"/>
  <c r="AA129" i="5"/>
  <c r="AF70" i="5"/>
  <c r="AC189" i="5"/>
  <c r="AG35" i="5"/>
  <c r="AD65" i="5"/>
  <c r="AB184" i="5"/>
  <c r="AC201" i="5"/>
  <c r="AB125" i="5"/>
  <c r="AE153" i="5"/>
  <c r="AD119" i="5"/>
  <c r="AF68" i="5"/>
  <c r="AH143" i="5"/>
  <c r="AF168" i="5"/>
  <c r="AA153" i="5"/>
  <c r="AH146" i="5"/>
  <c r="AA154" i="5"/>
  <c r="AA119" i="5"/>
  <c r="AC141" i="5"/>
  <c r="AI119" i="5"/>
  <c r="AB171" i="5"/>
  <c r="AA171" i="5"/>
  <c r="AC171" i="5"/>
  <c r="AG171" i="5"/>
  <c r="AE171" i="5"/>
  <c r="AD171" i="5"/>
  <c r="AH171" i="5"/>
  <c r="AF171" i="5"/>
  <c r="AG160" i="5"/>
  <c r="AD160" i="5"/>
  <c r="AF160" i="5"/>
  <c r="AE56" i="5"/>
  <c r="AH136" i="5"/>
  <c r="AA136" i="5"/>
  <c r="AD68" i="5"/>
  <c r="AG68" i="5"/>
  <c r="AB82" i="5"/>
  <c r="AA82" i="5"/>
  <c r="AE82" i="5"/>
  <c r="AD82" i="5"/>
  <c r="AH82" i="5"/>
  <c r="AF82" i="5"/>
  <c r="AG82" i="5"/>
  <c r="AC82" i="5"/>
  <c r="AF162" i="5"/>
  <c r="AD89" i="5"/>
  <c r="AF89" i="5"/>
  <c r="AI39" i="5"/>
  <c r="AD39" i="5"/>
  <c r="AH39" i="5"/>
  <c r="AG39" i="5"/>
  <c r="AC39" i="5"/>
  <c r="AA39" i="5"/>
  <c r="AB39" i="5"/>
  <c r="AF39" i="5"/>
  <c r="AE39" i="5"/>
  <c r="AC107" i="5"/>
  <c r="AE107" i="5"/>
  <c r="AA107" i="5"/>
  <c r="AH107" i="5"/>
  <c r="AF107" i="5"/>
  <c r="AD107" i="5"/>
  <c r="AG107" i="5"/>
  <c r="AB107" i="5"/>
  <c r="AC161" i="5"/>
  <c r="AD161" i="5"/>
  <c r="AE161" i="5"/>
  <c r="AH161" i="5"/>
  <c r="AA161" i="5"/>
  <c r="AB161" i="5"/>
  <c r="AF161" i="5"/>
  <c r="AG161" i="5"/>
  <c r="AF153" i="5"/>
  <c r="AD153" i="5"/>
  <c r="AC153" i="5"/>
  <c r="AH153" i="5"/>
  <c r="AA122" i="5"/>
  <c r="AG102" i="5"/>
  <c r="AA120" i="5"/>
  <c r="AG97" i="5"/>
  <c r="AB73" i="5"/>
  <c r="AF134" i="5"/>
  <c r="AH178" i="5"/>
  <c r="AG41" i="5"/>
  <c r="AF41" i="5"/>
  <c r="AB168" i="5"/>
  <c r="AD168" i="5"/>
  <c r="AG168" i="5"/>
  <c r="AE168" i="5"/>
  <c r="AF74" i="5"/>
  <c r="AE143" i="5"/>
  <c r="AI143" i="5"/>
  <c r="AF143" i="5"/>
  <c r="AG157" i="5"/>
  <c r="AA157" i="5"/>
  <c r="AH157" i="5"/>
  <c r="AG104" i="5"/>
  <c r="AH104" i="5"/>
  <c r="AB104" i="5"/>
  <c r="AG50" i="5"/>
  <c r="AC50" i="5"/>
  <c r="AF50" i="5"/>
  <c r="AB50" i="5"/>
  <c r="AH50" i="5"/>
  <c r="AI50" i="5"/>
  <c r="AD50" i="5"/>
  <c r="AA50" i="5"/>
  <c r="AE50" i="5"/>
  <c r="AB45" i="5"/>
  <c r="AB157" i="5"/>
  <c r="AG183" i="5"/>
  <c r="AC104" i="5"/>
  <c r="AE209" i="5"/>
  <c r="AD95" i="5"/>
  <c r="AC95" i="5"/>
  <c r="AB95" i="5"/>
  <c r="AH95" i="5"/>
  <c r="AA95" i="5"/>
  <c r="AG211" i="5"/>
  <c r="AI211" i="5"/>
  <c r="AE211" i="5"/>
  <c r="AB211" i="5"/>
  <c r="AA211" i="5"/>
  <c r="AD211" i="5"/>
  <c r="AE99" i="5"/>
  <c r="AC99" i="5"/>
  <c r="AA99" i="5"/>
  <c r="AB99" i="5"/>
  <c r="AG99" i="5"/>
  <c r="AH99" i="5"/>
  <c r="AD99" i="5"/>
  <c r="AF99" i="5"/>
  <c r="AI83" i="5"/>
  <c r="AG83" i="5"/>
  <c r="AD83" i="5"/>
  <c r="AA83" i="5"/>
  <c r="AI136" i="5"/>
  <c r="AD136" i="5"/>
  <c r="AI68" i="5"/>
  <c r="AA60" i="5"/>
  <c r="AH56" i="5"/>
  <c r="AA41" i="5"/>
  <c r="AE73" i="5"/>
  <c r="AD194" i="5"/>
  <c r="AD127" i="5"/>
  <c r="AG120" i="5"/>
  <c r="AA61" i="5"/>
  <c r="AG32" i="5"/>
  <c r="AF112" i="5"/>
  <c r="AE194" i="5"/>
  <c r="AB129" i="5"/>
  <c r="AD189" i="5"/>
  <c r="AC35" i="5"/>
  <c r="AI65" i="5"/>
  <c r="AF184" i="5"/>
  <c r="AF201" i="5"/>
  <c r="AA125" i="5"/>
  <c r="AG119" i="5"/>
  <c r="AC211" i="5"/>
  <c r="AG143" i="5"/>
  <c r="AD41" i="5"/>
  <c r="AE174" i="5"/>
  <c r="AH41" i="5"/>
  <c r="AD104" i="5"/>
  <c r="AH138" i="5"/>
  <c r="AF138" i="5"/>
  <c r="AH84" i="5"/>
  <c r="AH192" i="5"/>
  <c r="AG192" i="5"/>
  <c r="AD192" i="5"/>
  <c r="AD170" i="5"/>
  <c r="AC151" i="5"/>
  <c r="AA151" i="5"/>
  <c r="AD151" i="5"/>
  <c r="AH151" i="5"/>
  <c r="AH87" i="5"/>
  <c r="AB87" i="5"/>
  <c r="AF87" i="5"/>
  <c r="AA87" i="5"/>
  <c r="AG87" i="5"/>
  <c r="AB103" i="5"/>
  <c r="AC103" i="5"/>
  <c r="AF103" i="5"/>
  <c r="AD103" i="5"/>
  <c r="AH193" i="5"/>
  <c r="AG193" i="5"/>
  <c r="AB193" i="5"/>
  <c r="AD193" i="5"/>
  <c r="AA193" i="5"/>
  <c r="AF139" i="5"/>
  <c r="AG139" i="5"/>
  <c r="AC139" i="5"/>
  <c r="AB139" i="5"/>
  <c r="AE139" i="5"/>
  <c r="AH139" i="5"/>
  <c r="AD139" i="5"/>
  <c r="AA139" i="5"/>
  <c r="AI66" i="5"/>
  <c r="AC66" i="5"/>
  <c r="AD66" i="5"/>
  <c r="AA66" i="5"/>
  <c r="AH66" i="5"/>
  <c r="AG66" i="5"/>
  <c r="AF66" i="5"/>
  <c r="AB66" i="5"/>
  <c r="AE66" i="5"/>
  <c r="AB137" i="5"/>
  <c r="AD183" i="5"/>
  <c r="AF183" i="5"/>
  <c r="AC202" i="5"/>
  <c r="AD146" i="5"/>
  <c r="AI146" i="5"/>
  <c r="AF42" i="5"/>
  <c r="AB176" i="5"/>
  <c r="AE176" i="5"/>
  <c r="AA176" i="5"/>
  <c r="AH176" i="5"/>
  <c r="AF91" i="5"/>
  <c r="AF174" i="5"/>
  <c r="AF194" i="5"/>
  <c r="AB91" i="5"/>
  <c r="AD174" i="5"/>
  <c r="AH45" i="5"/>
  <c r="AE49" i="5"/>
  <c r="AF209" i="5"/>
  <c r="AF35" i="5"/>
  <c r="AA104" i="5"/>
  <c r="AC146" i="5"/>
  <c r="AH88" i="5"/>
  <c r="AD88" i="5"/>
  <c r="AB203" i="5"/>
  <c r="AF203" i="5"/>
  <c r="AI203" i="5"/>
  <c r="AD203" i="5"/>
  <c r="AG203" i="5"/>
  <c r="AA197" i="5"/>
  <c r="AD197" i="5"/>
  <c r="AE197" i="5"/>
  <c r="AB197" i="5"/>
  <c r="AG197" i="5"/>
  <c r="AG64" i="5"/>
  <c r="AD64" i="5"/>
  <c r="AB177" i="5"/>
  <c r="AE177" i="5"/>
  <c r="AE68" i="5"/>
  <c r="AE157" i="5"/>
  <c r="AH174" i="5"/>
  <c r="AG88" i="5"/>
  <c r="AC136" i="5"/>
  <c r="AG202" i="5"/>
  <c r="AG89" i="5"/>
  <c r="AA160" i="5"/>
  <c r="AD42" i="5"/>
  <c r="AF83" i="5"/>
  <c r="AB89" i="5"/>
  <c r="AE42" i="5"/>
  <c r="AI45" i="5"/>
  <c r="AD97" i="5"/>
  <c r="AH162" i="5"/>
  <c r="AA134" i="5"/>
  <c r="AA112" i="5"/>
  <c r="AD74" i="5"/>
  <c r="AD178" i="5"/>
  <c r="AG94" i="5"/>
  <c r="AD157" i="5"/>
  <c r="AH60" i="5"/>
  <c r="AF180" i="5"/>
  <c r="AB60" i="5"/>
  <c r="AH94" i="5"/>
  <c r="AC73" i="5"/>
  <c r="AE60" i="5"/>
  <c r="AD202" i="5"/>
  <c r="AA42" i="5"/>
  <c r="AB127" i="5"/>
  <c r="AF202" i="5"/>
  <c r="AE127" i="5"/>
  <c r="AC112" i="5"/>
  <c r="AB209" i="5"/>
  <c r="AB194" i="5"/>
  <c r="AF60" i="5"/>
  <c r="AC60" i="5"/>
  <c r="AC49" i="5"/>
  <c r="AG65" i="5"/>
  <c r="AD35" i="5"/>
  <c r="AH160" i="5"/>
  <c r="AE146" i="5"/>
  <c r="AA62" i="5"/>
  <c r="AE95" i="5"/>
  <c r="AG176" i="5"/>
  <c r="AB98" i="5"/>
  <c r="AB146" i="5"/>
  <c r="AD141" i="5"/>
  <c r="AC197" i="5"/>
  <c r="AG56" i="5"/>
  <c r="AD98" i="5"/>
  <c r="AI197" i="5"/>
  <c r="AF90" i="5"/>
  <c r="AG90" i="5"/>
  <c r="AD90" i="5"/>
  <c r="AA90" i="5"/>
  <c r="AC90" i="5"/>
  <c r="AE90" i="5"/>
  <c r="AH90" i="5"/>
  <c r="AB90" i="5"/>
  <c r="AB167" i="5"/>
  <c r="AC167" i="5"/>
  <c r="AA167" i="5"/>
  <c r="AH167" i="5"/>
  <c r="AG167" i="5"/>
  <c r="AD167" i="5"/>
  <c r="AF167" i="5"/>
  <c r="AE167" i="5"/>
  <c r="AD158" i="5"/>
  <c r="AD205" i="5"/>
  <c r="AE205" i="5"/>
  <c r="AC205" i="5"/>
  <c r="AB205" i="5"/>
  <c r="AG205" i="5"/>
  <c r="AA205" i="5"/>
  <c r="AF205" i="5"/>
  <c r="AH205" i="5"/>
  <c r="AD76" i="5"/>
  <c r="AE198" i="5"/>
  <c r="AF198" i="5"/>
  <c r="AB198" i="5"/>
  <c r="AC198" i="5"/>
  <c r="AH198" i="5"/>
  <c r="AG198" i="5"/>
  <c r="AD198" i="5"/>
  <c r="AA198" i="5"/>
  <c r="AF86" i="5"/>
  <c r="AG86" i="5"/>
  <c r="AC86" i="5"/>
  <c r="AB86" i="5"/>
  <c r="AA57" i="5"/>
  <c r="AB57" i="5"/>
  <c r="AB72" i="5"/>
  <c r="AA72" i="5"/>
  <c r="AE72" i="5"/>
  <c r="AA213" i="5"/>
  <c r="AB213" i="5"/>
  <c r="AB191" i="5"/>
  <c r="AE148" i="5"/>
  <c r="AC148" i="5"/>
  <c r="AA148" i="5"/>
  <c r="AB148" i="5"/>
  <c r="AH148" i="5"/>
  <c r="AD148" i="5"/>
  <c r="AG148" i="5"/>
  <c r="AF148" i="5"/>
  <c r="AI148" i="5"/>
  <c r="AB48" i="5"/>
  <c r="AH48" i="5"/>
  <c r="AE200" i="5"/>
  <c r="AF200" i="5"/>
  <c r="AE207" i="5"/>
  <c r="AI207" i="5"/>
  <c r="AF207" i="5"/>
  <c r="AG207" i="5"/>
  <c r="AH207" i="5"/>
  <c r="AF36" i="5"/>
  <c r="AH36" i="5"/>
  <c r="AD196" i="5"/>
  <c r="AB196" i="5"/>
  <c r="AD163" i="5"/>
  <c r="AH145" i="5"/>
  <c r="AG145" i="5"/>
  <c r="AB145" i="5"/>
  <c r="AD145" i="5"/>
  <c r="AC145" i="5"/>
  <c r="AC30" i="5"/>
  <c r="AF30" i="5"/>
  <c r="AE30" i="5"/>
  <c r="AG30" i="5"/>
  <c r="AH30" i="5"/>
  <c r="AB30" i="5"/>
  <c r="AI30" i="5"/>
  <c r="AA30" i="5"/>
  <c r="AD30" i="5"/>
  <c r="X27" i="5"/>
  <c r="AG15" i="5" l="1"/>
  <c r="AG17" i="5" s="1"/>
  <c r="AF15" i="5"/>
  <c r="AF17" i="5" s="1"/>
  <c r="AE15" i="5"/>
  <c r="AE17" i="5" s="1"/>
  <c r="AD15" i="5"/>
  <c r="AD17" i="5" s="1"/>
  <c r="AC15" i="5"/>
  <c r="AC17" i="5" s="1"/>
  <c r="AA15" i="5"/>
  <c r="AA17" i="5" s="1"/>
  <c r="AI15" i="5"/>
  <c r="AI17" i="5" s="1"/>
  <c r="AB15" i="5"/>
  <c r="AB17" i="5" s="1"/>
  <c r="AH15" i="5"/>
  <c r="AH17" i="5" s="1"/>
  <c r="S27" i="5"/>
  <c r="C19" i="5" l="1"/>
  <c r="Q17" i="5"/>
  <c r="R19" i="5" l="1"/>
</calcChain>
</file>

<file path=xl/sharedStrings.xml><?xml version="1.0" encoding="utf-8"?>
<sst xmlns="http://schemas.openxmlformats.org/spreadsheetml/2006/main" count="1935" uniqueCount="585">
  <si>
    <t>Sector</t>
  </si>
  <si>
    <t>Sector Objective 1 percentage</t>
  </si>
  <si>
    <t>Sector Objective 2 percentage</t>
  </si>
  <si>
    <t>aCode</t>
  </si>
  <si>
    <t>Activity</t>
  </si>
  <si>
    <t>i1Code</t>
  </si>
  <si>
    <t>Indicator1</t>
  </si>
  <si>
    <t>Unit for indicator1</t>
  </si>
  <si>
    <t>Unit Cost</t>
  </si>
  <si>
    <t>Baseline</t>
  </si>
  <si>
    <t>Target</t>
  </si>
  <si>
    <t>Cost</t>
  </si>
  <si>
    <t>Shelter and non-food items</t>
  </si>
  <si>
    <t>SHL_a1</t>
  </si>
  <si>
    <t>NFI kit distribution</t>
  </si>
  <si>
    <t>SHL_a1_i1</t>
  </si>
  <si>
    <t xml:space="preserve">Number of households that received NFI kits </t>
  </si>
  <si>
    <t xml:space="preserve">Household </t>
  </si>
  <si>
    <t>SHL_a2</t>
  </si>
  <si>
    <t>SHL_a2_i1</t>
  </si>
  <si>
    <t>Household</t>
  </si>
  <si>
    <t>SHL_a3</t>
  </si>
  <si>
    <t>Tent distribution</t>
  </si>
  <si>
    <t>SHL_a3_i1</t>
  </si>
  <si>
    <t>Number of households that received tents</t>
  </si>
  <si>
    <t>SHL_a4</t>
  </si>
  <si>
    <t>SHL_a4_i1</t>
  </si>
  <si>
    <t>SHL_a5</t>
  </si>
  <si>
    <t>SHL_a5_i1</t>
  </si>
  <si>
    <t>SHL_a6</t>
  </si>
  <si>
    <t>SHL_a6_i1</t>
  </si>
  <si>
    <t>SHL_a7</t>
  </si>
  <si>
    <t>SHL_a7_i1</t>
  </si>
  <si>
    <t>SHL_a8</t>
  </si>
  <si>
    <t>SHL_a8_i1</t>
  </si>
  <si>
    <t>Sector Objective Code</t>
  </si>
  <si>
    <t>Sector objective</t>
  </si>
  <si>
    <t>Sector objective indicator code</t>
  </si>
  <si>
    <t>Sector objective indicator</t>
  </si>
  <si>
    <t>Link to specific objective(s)</t>
  </si>
  <si>
    <t>SHL_ob1_i1</t>
  </si>
  <si>
    <t>SHL_ob2_i1</t>
  </si>
  <si>
    <t>SHL_ob1</t>
  </si>
  <si>
    <t>SHL_ob2</t>
  </si>
  <si>
    <t>Provide timely NFI assistance to crisis affected populations.</t>
  </si>
  <si>
    <t>Percentage of the affected population with access to essential household items.</t>
  </si>
  <si>
    <t>Enable crisis affected populations to access adequate shelter solutions that provide protection, safety, security, and space to live in a dignified manner.</t>
  </si>
  <si>
    <t xml:space="preserve">Percentage of the affected population residing in adequate dwellings. </t>
  </si>
  <si>
    <t>of PIN</t>
  </si>
  <si>
    <t>Sum activity</t>
  </si>
  <si>
    <t>Total of all activity costs</t>
  </si>
  <si>
    <t>Unit cost</t>
  </si>
  <si>
    <t>Cost of activity</t>
  </si>
  <si>
    <t>Adjustment units</t>
  </si>
  <si>
    <t>Percentage of PIN targated</t>
  </si>
  <si>
    <t>Target population</t>
  </si>
  <si>
    <t>STATE</t>
  </si>
  <si>
    <t>Pcode Admin2</t>
  </si>
  <si>
    <t>LOCALITY</t>
  </si>
  <si>
    <t>SHL_PIN</t>
  </si>
  <si>
    <t>SHL_TAR</t>
  </si>
  <si>
    <t>SD19101</t>
  </si>
  <si>
    <t>SD15034</t>
  </si>
  <si>
    <t>SD15035</t>
  </si>
  <si>
    <t>SD15036</t>
  </si>
  <si>
    <t>SD15037</t>
  </si>
  <si>
    <t>SD15031</t>
  </si>
  <si>
    <t>SD15030</t>
  </si>
  <si>
    <t>SD15033</t>
  </si>
  <si>
    <t>SD15032</t>
  </si>
  <si>
    <t>SD08106</t>
  </si>
  <si>
    <t>SD08107</t>
  </si>
  <si>
    <t>SD08108</t>
  </si>
  <si>
    <t>SD08104</t>
  </si>
  <si>
    <t>SD08105</t>
  </si>
  <si>
    <t>SD08109</t>
  </si>
  <si>
    <t>SD08110</t>
  </si>
  <si>
    <t>SD06110</t>
  </si>
  <si>
    <t>SD06112</t>
  </si>
  <si>
    <t>SD06131</t>
  </si>
  <si>
    <t>SD06130</t>
  </si>
  <si>
    <t>SD06132</t>
  </si>
  <si>
    <t>SD06135</t>
  </si>
  <si>
    <t>SD06137</t>
  </si>
  <si>
    <t>SD06139</t>
  </si>
  <si>
    <t>SD06138</t>
  </si>
  <si>
    <t>SD05140</t>
  </si>
  <si>
    <t>SD05155</t>
  </si>
  <si>
    <t>SD05142</t>
  </si>
  <si>
    <t>SD05139</t>
  </si>
  <si>
    <t>SD05152</t>
  </si>
  <si>
    <t>SD05163</t>
  </si>
  <si>
    <t>SD05160</t>
  </si>
  <si>
    <t>SD05148</t>
  </si>
  <si>
    <t>SD05165</t>
  </si>
  <si>
    <t>SD12073</t>
  </si>
  <si>
    <t>SD12074</t>
  </si>
  <si>
    <t>SD12075</t>
  </si>
  <si>
    <t>SD12078</t>
  </si>
  <si>
    <t>SD12082</t>
  </si>
  <si>
    <t>SD12076</t>
  </si>
  <si>
    <t>SD12084</t>
  </si>
  <si>
    <t>SD12077</t>
  </si>
  <si>
    <t>SD12079</t>
  </si>
  <si>
    <t>SD12083</t>
  </si>
  <si>
    <t>SD12080</t>
  </si>
  <si>
    <t>SD12081</t>
  </si>
  <si>
    <t>SD11052</t>
  </si>
  <si>
    <t>SD11053</t>
  </si>
  <si>
    <t>SD11055</t>
  </si>
  <si>
    <t>SD11054</t>
  </si>
  <si>
    <t>SD11058</t>
  </si>
  <si>
    <t>SD11056</t>
  </si>
  <si>
    <t>SD11060</t>
  </si>
  <si>
    <t>SD11062</t>
  </si>
  <si>
    <t>SD11057</t>
  </si>
  <si>
    <t>SD11059</t>
  </si>
  <si>
    <t>SD11061</t>
  </si>
  <si>
    <t>SD01003</t>
  </si>
  <si>
    <t>SD01001</t>
  </si>
  <si>
    <t>SD01005</t>
  </si>
  <si>
    <t>SD01007</t>
  </si>
  <si>
    <t>SD01004</t>
  </si>
  <si>
    <t>SD01002</t>
  </si>
  <si>
    <t>SD01006</t>
  </si>
  <si>
    <t>SD02114</t>
  </si>
  <si>
    <t>SD02116</t>
  </si>
  <si>
    <t>SD02169</t>
  </si>
  <si>
    <t>SD02117</t>
  </si>
  <si>
    <t>SDTEMP</t>
  </si>
  <si>
    <t>SD02118</t>
  </si>
  <si>
    <t>SD02119</t>
  </si>
  <si>
    <t>SD02171</t>
  </si>
  <si>
    <t>SD02113</t>
  </si>
  <si>
    <t>SD02124</t>
  </si>
  <si>
    <t>SD02126</t>
  </si>
  <si>
    <t>SD02168</t>
  </si>
  <si>
    <t>SD02128</t>
  </si>
  <si>
    <t>SD02129</t>
  </si>
  <si>
    <t>SD02133</t>
  </si>
  <si>
    <t>SD02170</t>
  </si>
  <si>
    <t>SD02120</t>
  </si>
  <si>
    <t>SD02136</t>
  </si>
  <si>
    <t>SD13030</t>
  </si>
  <si>
    <t>SD13026</t>
  </si>
  <si>
    <t>SD13027</t>
  </si>
  <si>
    <t>SD13029</t>
  </si>
  <si>
    <t>SD13024</t>
  </si>
  <si>
    <t>SD13025</t>
  </si>
  <si>
    <t>SD13028</t>
  </si>
  <si>
    <t>SD13023</t>
  </si>
  <si>
    <t>SD17019</t>
  </si>
  <si>
    <t>SD17016</t>
  </si>
  <si>
    <t>SD17018</t>
  </si>
  <si>
    <t>SD17015</t>
  </si>
  <si>
    <t>SD17017</t>
  </si>
  <si>
    <t>SD17014</t>
  </si>
  <si>
    <t>SD17020</t>
  </si>
  <si>
    <t>SD10072</t>
  </si>
  <si>
    <t>SD10069</t>
  </si>
  <si>
    <t>SD10063</t>
  </si>
  <si>
    <t>SD10066</t>
  </si>
  <si>
    <t>SD10070</t>
  </si>
  <si>
    <t>SD10067</t>
  </si>
  <si>
    <t>SD10064</t>
  </si>
  <si>
    <t>SD10068</t>
  </si>
  <si>
    <t>SD10071</t>
  </si>
  <si>
    <t>SD10065</t>
  </si>
  <si>
    <t>SD16008</t>
  </si>
  <si>
    <t>SD16011</t>
  </si>
  <si>
    <t>SD16014</t>
  </si>
  <si>
    <t>SD16009</t>
  </si>
  <si>
    <t>SD16012</t>
  </si>
  <si>
    <t>SD16013</t>
  </si>
  <si>
    <t>SD16010</t>
  </si>
  <si>
    <t>SD14037</t>
  </si>
  <si>
    <t>SD14039</t>
  </si>
  <si>
    <t>SD14040</t>
  </si>
  <si>
    <t>SD14041</t>
  </si>
  <si>
    <t>SD14038</t>
  </si>
  <si>
    <t>SD14042</t>
  </si>
  <si>
    <t>SD14043</t>
  </si>
  <si>
    <t>SD03141</t>
  </si>
  <si>
    <t>SD03150</t>
  </si>
  <si>
    <t>SD03166</t>
  </si>
  <si>
    <t>SD03156</t>
  </si>
  <si>
    <t>SD03162</t>
  </si>
  <si>
    <t>SD03161</t>
  </si>
  <si>
    <t>SD03172</t>
  </si>
  <si>
    <t>SD03143</t>
  </si>
  <si>
    <t>SD03153</t>
  </si>
  <si>
    <t>SD03144</t>
  </si>
  <si>
    <t>SD03159</t>
  </si>
  <si>
    <t>SD03157</t>
  </si>
  <si>
    <t>SD03145</t>
  </si>
  <si>
    <t>SD03151</t>
  </si>
  <si>
    <t>SD03167</t>
  </si>
  <si>
    <t>SD03164</t>
  </si>
  <si>
    <t>SD03158</t>
  </si>
  <si>
    <t>SD03147</t>
  </si>
  <si>
    <t>SD03154</t>
  </si>
  <si>
    <t>SD03149</t>
  </si>
  <si>
    <t>SD03146</t>
  </si>
  <si>
    <t>SD07090</t>
  </si>
  <si>
    <t>SD07088</t>
  </si>
  <si>
    <t>SD07104</t>
  </si>
  <si>
    <t>SD07099</t>
  </si>
  <si>
    <t>SD07105</t>
  </si>
  <si>
    <t>SD07094</t>
  </si>
  <si>
    <t>SD07093</t>
  </si>
  <si>
    <t>SD07097</t>
  </si>
  <si>
    <t>SD07106</t>
  </si>
  <si>
    <t>SD07107</t>
  </si>
  <si>
    <t>SD07095</t>
  </si>
  <si>
    <t>SD07108</t>
  </si>
  <si>
    <t>SD07103</t>
  </si>
  <si>
    <t>SD07096</t>
  </si>
  <si>
    <t>SD07098</t>
  </si>
  <si>
    <t>SD07089</t>
  </si>
  <si>
    <t>SD07091</t>
  </si>
  <si>
    <t>SD04115</t>
  </si>
  <si>
    <t>SD04111</t>
  </si>
  <si>
    <t>SD04121</t>
  </si>
  <si>
    <t>SD04122</t>
  </si>
  <si>
    <t>SD04123</t>
  </si>
  <si>
    <t>SD04125</t>
  </si>
  <si>
    <t>SD04127</t>
  </si>
  <si>
    <t>SD04134</t>
  </si>
  <si>
    <t>SD18028</t>
  </si>
  <si>
    <t>SD18087</t>
  </si>
  <si>
    <t>SD18103</t>
  </si>
  <si>
    <t>SD18104</t>
  </si>
  <si>
    <t>SD18105</t>
  </si>
  <si>
    <t>SD18102</t>
  </si>
  <si>
    <t>SD18106</t>
  </si>
  <si>
    <t>SD18022</t>
  </si>
  <si>
    <t>SD18086</t>
  </si>
  <si>
    <t>SD18092</t>
  </si>
  <si>
    <t>SD18100</t>
  </si>
  <si>
    <t>SD18021</t>
  </si>
  <si>
    <t>SD18085</t>
  </si>
  <si>
    <t>SD18029</t>
  </si>
  <si>
    <t>SD09044</t>
  </si>
  <si>
    <t>SD09051</t>
  </si>
  <si>
    <t>SD09050</t>
  </si>
  <si>
    <t>SD09049</t>
  </si>
  <si>
    <t>SD09052</t>
  </si>
  <si>
    <t>SD09047</t>
  </si>
  <si>
    <t>SD09046</t>
  </si>
  <si>
    <t>SD09048</t>
  </si>
  <si>
    <t>SD09045</t>
  </si>
  <si>
    <t>Abyei PCA area</t>
  </si>
  <si>
    <t>Al Hasahisa</t>
  </si>
  <si>
    <t>Al Kamlin</t>
  </si>
  <si>
    <t>Al Manaqil</t>
  </si>
  <si>
    <t>Al Qurashi</t>
  </si>
  <si>
    <t>Janub Aj Jazirah</t>
  </si>
  <si>
    <t>Medani Al Kubra</t>
  </si>
  <si>
    <t>Sharg Aj Jazirah</t>
  </si>
  <si>
    <t>Um Algura</t>
  </si>
  <si>
    <t>Al Kurmuk</t>
  </si>
  <si>
    <t>Ar Rusayris</t>
  </si>
  <si>
    <t>At Tadamon - BN</t>
  </si>
  <si>
    <t>Baw</t>
  </si>
  <si>
    <t>Ed Damazine</t>
  </si>
  <si>
    <t>Geisan</t>
  </si>
  <si>
    <t>Wad Al Mahi</t>
  </si>
  <si>
    <t>Azum</t>
  </si>
  <si>
    <t>Bendasi</t>
  </si>
  <si>
    <t>Gharb Jabal Marrah</t>
  </si>
  <si>
    <t>Mukjar</t>
  </si>
  <si>
    <t>Shamal Jabal Marrah</t>
  </si>
  <si>
    <t>Um Dukhun</t>
  </si>
  <si>
    <t>Wadi Salih</t>
  </si>
  <si>
    <t>Wasat Jabal Marrah</t>
  </si>
  <si>
    <t>Zalingi</t>
  </si>
  <si>
    <t>Abu Jabrah</t>
  </si>
  <si>
    <t>Abu Karinka</t>
  </si>
  <si>
    <t>Ad Du'ayn</t>
  </si>
  <si>
    <t>Adila</t>
  </si>
  <si>
    <t>Al Firdous</t>
  </si>
  <si>
    <t>Assalaya</t>
  </si>
  <si>
    <t>Bahr Al Arab</t>
  </si>
  <si>
    <t>Shia'ria</t>
  </si>
  <si>
    <t>Yassin</t>
  </si>
  <si>
    <t>Al Butanah</t>
  </si>
  <si>
    <t>Al Fao</t>
  </si>
  <si>
    <t>Al Fashaga</t>
  </si>
  <si>
    <t>Al Galabat Al Gharbyah - Kassab</t>
  </si>
  <si>
    <t>Al Mafaza</t>
  </si>
  <si>
    <t>Al Qureisha</t>
  </si>
  <si>
    <t>Ar Rahad-GD</t>
  </si>
  <si>
    <t>Basundah</t>
  </si>
  <si>
    <t>Gala'a Al Nahal</t>
  </si>
  <si>
    <t>Galabat Ash-Shargiah</t>
  </si>
  <si>
    <t>Madeinat Al Gedaref</t>
  </si>
  <si>
    <t>Wasat Al Gedaref</t>
  </si>
  <si>
    <t>Halfa Aj Jadeedah</t>
  </si>
  <si>
    <t>Madeinat Kassala</t>
  </si>
  <si>
    <t>Reifi Aroma</t>
  </si>
  <si>
    <t>Reifi Gharb Kassala</t>
  </si>
  <si>
    <t>Reifi Hamashkureib</t>
  </si>
  <si>
    <t>Reifi Kassla</t>
  </si>
  <si>
    <t>Reifi Khashm Elgirba</t>
  </si>
  <si>
    <t>Reifi Nahr Atbara</t>
  </si>
  <si>
    <t>Reifi Shamal Ad Delta</t>
  </si>
  <si>
    <t>Reifi Telkok</t>
  </si>
  <si>
    <t>Reifi Wad Elhilaiw</t>
  </si>
  <si>
    <t>Bahri</t>
  </si>
  <si>
    <t>Jebel Awlia</t>
  </si>
  <si>
    <t>Karrari</t>
  </si>
  <si>
    <t>Khartoum</t>
  </si>
  <si>
    <t>Sharg An Neel</t>
  </si>
  <si>
    <t>Um Bada</t>
  </si>
  <si>
    <t>Um Durman</t>
  </si>
  <si>
    <t>Al Fasher</t>
  </si>
  <si>
    <t>Al Koma</t>
  </si>
  <si>
    <t>Al Lait</t>
  </si>
  <si>
    <t>Al Malha</t>
  </si>
  <si>
    <t>Al Waha</t>
  </si>
  <si>
    <t>As Serief</t>
  </si>
  <si>
    <t>At Tawisha</t>
  </si>
  <si>
    <t>At Tina</t>
  </si>
  <si>
    <t>Dar As Salam</t>
  </si>
  <si>
    <t>Kebkabiya</t>
  </si>
  <si>
    <t>Kelemando</t>
  </si>
  <si>
    <t>Kernoi</t>
  </si>
  <si>
    <t>Kutum</t>
  </si>
  <si>
    <t>Melit</t>
  </si>
  <si>
    <t>Saraf Omra</t>
  </si>
  <si>
    <t>Tawila</t>
  </si>
  <si>
    <t>Um Baru</t>
  </si>
  <si>
    <t>Um Kadadah</t>
  </si>
  <si>
    <t>Ar Rahad-NK</t>
  </si>
  <si>
    <t>Bara</t>
  </si>
  <si>
    <t>Gebrat Al Sheikh</t>
  </si>
  <si>
    <t>Gharb Bara</t>
  </si>
  <si>
    <t>Sheikan</t>
  </si>
  <si>
    <t>Soudari</t>
  </si>
  <si>
    <t>Um Dam Haj Ahmed</t>
  </si>
  <si>
    <t>Um Rawaba</t>
  </si>
  <si>
    <t>Ad Dabbah</t>
  </si>
  <si>
    <t>Al Burgaig</t>
  </si>
  <si>
    <t>Al Golid</t>
  </si>
  <si>
    <t>Delgo</t>
  </si>
  <si>
    <t>Dongola</t>
  </si>
  <si>
    <t>Halfa</t>
  </si>
  <si>
    <t>Merwoe</t>
  </si>
  <si>
    <t>Agig</t>
  </si>
  <si>
    <t>Al Ganab</t>
  </si>
  <si>
    <t>Dordieb</t>
  </si>
  <si>
    <t>Hala'ib</t>
  </si>
  <si>
    <t>Haya</t>
  </si>
  <si>
    <t>Jubayt Elma'aadin</t>
  </si>
  <si>
    <t>Port Sudan</t>
  </si>
  <si>
    <t>Sawakin</t>
  </si>
  <si>
    <t>Sinkat</t>
  </si>
  <si>
    <t>Tawkar</t>
  </si>
  <si>
    <t>Abu Hamad</t>
  </si>
  <si>
    <t>Ad Damar</t>
  </si>
  <si>
    <t>Al Buhaira</t>
  </si>
  <si>
    <t>Al Matama</t>
  </si>
  <si>
    <t>Atbara</t>
  </si>
  <si>
    <t>Barbar</t>
  </si>
  <si>
    <t>Shendi</t>
  </si>
  <si>
    <t>Abu Hujar</t>
  </si>
  <si>
    <t>Ad Dali</t>
  </si>
  <si>
    <t>Ad Dinder</t>
  </si>
  <si>
    <t>As Suki</t>
  </si>
  <si>
    <t>Sennar</t>
  </si>
  <si>
    <t>Sharg Sennar</t>
  </si>
  <si>
    <t>Sinja</t>
  </si>
  <si>
    <t>Al Radoum</t>
  </si>
  <si>
    <t>Al Wihda</t>
  </si>
  <si>
    <t>As Salam - SD</t>
  </si>
  <si>
    <t>As Sunta</t>
  </si>
  <si>
    <t>Beliel</t>
  </si>
  <si>
    <t>Buram</t>
  </si>
  <si>
    <t>Damso</t>
  </si>
  <si>
    <t>Ed Al Fursan</t>
  </si>
  <si>
    <t>Gereida</t>
  </si>
  <si>
    <t>Kas</t>
  </si>
  <si>
    <t>Kateila</t>
  </si>
  <si>
    <t>Kubum</t>
  </si>
  <si>
    <t>Mershing</t>
  </si>
  <si>
    <t>Nitega</t>
  </si>
  <si>
    <t>Nyala Janoub</t>
  </si>
  <si>
    <t>Nyala Shimal</t>
  </si>
  <si>
    <t>Rehaid Albirdi</t>
  </si>
  <si>
    <t>Sharg Aj Jabal</t>
  </si>
  <si>
    <t>Shattaya</t>
  </si>
  <si>
    <t>Tulus</t>
  </si>
  <si>
    <t>Um Dafoug</t>
  </si>
  <si>
    <t>Abassiya</t>
  </si>
  <si>
    <t>Abu Jubayhah</t>
  </si>
  <si>
    <t>Abu Kershola</t>
  </si>
  <si>
    <t>Al Buram</t>
  </si>
  <si>
    <t>Al Leri</t>
  </si>
  <si>
    <t>Al Quoz</t>
  </si>
  <si>
    <t>Ar Rashad</t>
  </si>
  <si>
    <t>Ar Reif Ash Shargi</t>
  </si>
  <si>
    <t>At Tadamon - SK</t>
  </si>
  <si>
    <t>Delami</t>
  </si>
  <si>
    <t>Dilling</t>
  </si>
  <si>
    <t>Ghadeer</t>
  </si>
  <si>
    <t>Habila - SK</t>
  </si>
  <si>
    <t>Heiban</t>
  </si>
  <si>
    <t>Kadugli</t>
  </si>
  <si>
    <t>Talawdi</t>
  </si>
  <si>
    <t>Um Durein</t>
  </si>
  <si>
    <t>Ag Geneina</t>
  </si>
  <si>
    <t>Beida</t>
  </si>
  <si>
    <t>Foro Baranga</t>
  </si>
  <si>
    <t>Habila - WD</t>
  </si>
  <si>
    <t>Jebel Moon</t>
  </si>
  <si>
    <t>Kereneik</t>
  </si>
  <si>
    <t>Kulbus</t>
  </si>
  <si>
    <t>Sirba</t>
  </si>
  <si>
    <t>Abu Zabad</t>
  </si>
  <si>
    <t>Abyei</t>
  </si>
  <si>
    <t>Al Dibab</t>
  </si>
  <si>
    <t>Al Idia</t>
  </si>
  <si>
    <t>Al Khiwai</t>
  </si>
  <si>
    <t>Al Lagowa</t>
  </si>
  <si>
    <t>Al Meiram</t>
  </si>
  <si>
    <t>An Nuhud</t>
  </si>
  <si>
    <t>As Salam - WK</t>
  </si>
  <si>
    <t>As Sunut</t>
  </si>
  <si>
    <t>Babanusa</t>
  </si>
  <si>
    <t>Ghubaish</t>
  </si>
  <si>
    <t>Keilak</t>
  </si>
  <si>
    <t>Wad Bandah</t>
  </si>
  <si>
    <t>Ad Diwaim</t>
  </si>
  <si>
    <t>Aj Jabalain</t>
  </si>
  <si>
    <t>Al Gitaina</t>
  </si>
  <si>
    <t>As Salam / Ar Rawat</t>
  </si>
  <si>
    <t>Guli</t>
  </si>
  <si>
    <t>Kosti</t>
  </si>
  <si>
    <t>Rabak</t>
  </si>
  <si>
    <t>Tendalti</t>
  </si>
  <si>
    <t>Um Rimta</t>
  </si>
  <si>
    <t>Abyei PCA</t>
  </si>
  <si>
    <t>Aj Jazirah</t>
  </si>
  <si>
    <t>Blue Nile</t>
  </si>
  <si>
    <t>Central Darfur</t>
  </si>
  <si>
    <t>East Darfur</t>
  </si>
  <si>
    <t>Gedaref</t>
  </si>
  <si>
    <t>Kassala</t>
  </si>
  <si>
    <t>North Darfur</t>
  </si>
  <si>
    <t>North Kordofan</t>
  </si>
  <si>
    <t>Northern</t>
  </si>
  <si>
    <t>Red Sea</t>
  </si>
  <si>
    <t>River Nile</t>
  </si>
  <si>
    <t>South Darfur</t>
  </si>
  <si>
    <t>South Kordofan</t>
  </si>
  <si>
    <t>West Darfur</t>
  </si>
  <si>
    <t>West Kordofan</t>
  </si>
  <si>
    <t>White Nile</t>
  </si>
  <si>
    <t>Establishment of communal shelters</t>
  </si>
  <si>
    <t>Provision of cash/vouchers for NFIs</t>
  </si>
  <si>
    <t>Provision of cash/vouchers for shelter repair or emergency shelter</t>
  </si>
  <si>
    <t>Provision of cash for rent</t>
  </si>
  <si>
    <t>Emergency Shelter Kit (ESK) distribution</t>
  </si>
  <si>
    <t>Number of households</t>
  </si>
  <si>
    <t>SNFI Severity</t>
  </si>
  <si>
    <t>Number of households accommodated in newly established communal shelters</t>
  </si>
  <si>
    <t>Number of households that received cash/vouchers for NFIs</t>
  </si>
  <si>
    <t>Number of households that received cash/vouchers for emergency/repaired shelter</t>
  </si>
  <si>
    <t>Number of households that received cash/vouchers for rent</t>
  </si>
  <si>
    <t>Number of households that received ESKs</t>
  </si>
  <si>
    <t>Number of households that benefited from site development</t>
  </si>
  <si>
    <t>General site development</t>
  </si>
  <si>
    <t>SHL_a9</t>
  </si>
  <si>
    <t>SHL_a9_i1</t>
  </si>
  <si>
    <t>Rehabilitation of collective centers</t>
  </si>
  <si>
    <t>Number of households that benefited from collective centre rehabilitation</t>
  </si>
  <si>
    <t>SHL_PIN_IDPs</t>
  </si>
  <si>
    <t>SHL_PIN_HC</t>
  </si>
  <si>
    <t>SHL_PIN_NDP</t>
  </si>
  <si>
    <t>Admin 1</t>
  </si>
  <si>
    <t>Admin 1 P-Code</t>
  </si>
  <si>
    <t>Admin 2</t>
  </si>
  <si>
    <t>Admin 2 P-Code</t>
  </si>
  <si>
    <t>2023 Affected People</t>
  </si>
  <si>
    <t>2024 PIN/Target</t>
  </si>
  <si>
    <t>New Displacement</t>
  </si>
  <si>
    <t>2021 Reach</t>
  </si>
  <si>
    <t>2022 Reach</t>
  </si>
  <si>
    <t>2023 Reach</t>
  </si>
  <si>
    <t>2023 Reach People</t>
  </si>
  <si>
    <t>Percentage Reach</t>
  </si>
  <si>
    <t>PIN Score</t>
  </si>
  <si>
    <t>Response 2021 Score</t>
  </si>
  <si>
    <t>Response 2022 Score</t>
  </si>
  <si>
    <t>Response 2023 Score</t>
  </si>
  <si>
    <t>Security and Access</t>
  </si>
  <si>
    <t>Coordination Priority - Sub-national</t>
  </si>
  <si>
    <t>Total Score</t>
  </si>
  <si>
    <t>Priority</t>
  </si>
  <si>
    <t>SD19</t>
  </si>
  <si>
    <t>SD15</t>
  </si>
  <si>
    <t>SD08</t>
  </si>
  <si>
    <t>SD06</t>
  </si>
  <si>
    <t>SD05</t>
  </si>
  <si>
    <t>SD12</t>
  </si>
  <si>
    <t>Ar Rahad</t>
  </si>
  <si>
    <t>SD11</t>
  </si>
  <si>
    <t>SD01</t>
  </si>
  <si>
    <t>SD02</t>
  </si>
  <si>
    <t>SD13</t>
  </si>
  <si>
    <t>SD17</t>
  </si>
  <si>
    <t>SD10</t>
  </si>
  <si>
    <t>SD16</t>
  </si>
  <si>
    <t>SD14</t>
  </si>
  <si>
    <t>SD03</t>
  </si>
  <si>
    <t>SD07</t>
  </si>
  <si>
    <t>SD04</t>
  </si>
  <si>
    <t>SD18</t>
  </si>
  <si>
    <t>SD09</t>
  </si>
  <si>
    <t>Access 2023</t>
  </si>
  <si>
    <t>Hard to reach</t>
  </si>
  <si>
    <t>Accessible</t>
  </si>
  <si>
    <t>Partially Accessible</t>
  </si>
  <si>
    <t>TBC</t>
  </si>
  <si>
    <t>if severity 5 and priority 1</t>
  </si>
  <si>
    <t>if severity 5 and priority 2</t>
  </si>
  <si>
    <t>if severity 5 and priority 3</t>
  </si>
  <si>
    <t>if severity 4 and priority 1</t>
  </si>
  <si>
    <t>if severity 4 and priority 2</t>
  </si>
  <si>
    <t>if severity 4 and priority 3</t>
  </si>
  <si>
    <t>if severity 4 and priority 4</t>
  </si>
  <si>
    <t>if severity 3 and priority 1</t>
  </si>
  <si>
    <t>if severity 3 and priority 2</t>
  </si>
  <si>
    <t>if severity 3 and priority 3</t>
  </si>
  <si>
    <t>if severity 5 and priority 4</t>
  </si>
  <si>
    <t>if severity 5 and priority 5</t>
  </si>
  <si>
    <t>if severity 4 and priority 5</t>
  </si>
  <si>
    <t>if severity 3 and priority 4</t>
  </si>
  <si>
    <t>if severity 3 and priority 5</t>
  </si>
  <si>
    <t>SHL_TAR_IDPs</t>
  </si>
  <si>
    <t>SHL_TAR_HC</t>
  </si>
  <si>
    <t>SHL_TAR_NDP</t>
  </si>
  <si>
    <t>Neglected Locality Percentage Response</t>
  </si>
  <si>
    <t>New Displacement Magnitude</t>
  </si>
  <si>
    <t>How the overall target is calculated:</t>
  </si>
  <si>
    <t>IDPs</t>
  </si>
  <si>
    <t>HC</t>
  </si>
  <si>
    <t>NDP</t>
  </si>
  <si>
    <t>NFI In-Kind</t>
  </si>
  <si>
    <t>NFI Cash</t>
  </si>
  <si>
    <t>Communal</t>
  </si>
  <si>
    <t>Collective</t>
  </si>
  <si>
    <t>Tents</t>
  </si>
  <si>
    <t>ESKs</t>
  </si>
  <si>
    <t>Cash - Shelter</t>
  </si>
  <si>
    <t>Cash - Rent</t>
  </si>
  <si>
    <t>Site Develop.</t>
  </si>
  <si>
    <t>Population Group Prioritization:</t>
  </si>
  <si>
    <t>Indicator Prioritization:</t>
  </si>
  <si>
    <t>Sub-Sector Prioritization</t>
  </si>
  <si>
    <t>Shelter</t>
  </si>
  <si>
    <t>NFI</t>
  </si>
  <si>
    <t>Site Development</t>
  </si>
  <si>
    <t>Per person:</t>
  </si>
  <si>
    <t>USD</t>
  </si>
  <si>
    <t>2023:</t>
  </si>
  <si>
    <t>212M</t>
  </si>
  <si>
    <t>People Reached (post April 15)</t>
  </si>
  <si>
    <t>Refugees Reached</t>
  </si>
  <si>
    <t>New 
Displacement</t>
  </si>
  <si>
    <t>Access</t>
  </si>
  <si>
    <t>Inter-Sectoral
Severity</t>
  </si>
  <si>
    <t>Hard-to-reach</t>
  </si>
  <si>
    <t>Partially accessible</t>
  </si>
  <si>
    <t>No data</t>
  </si>
  <si>
    <t>Affected by
Floods</t>
  </si>
  <si>
    <t>3-Year People Reached</t>
  </si>
  <si>
    <t>3-Year Reach</t>
  </si>
  <si>
    <t>PIN
population 
(without refugees)</t>
  </si>
  <si>
    <t>HIDE IDP</t>
  </si>
  <si>
    <t>HIDE HC</t>
  </si>
  <si>
    <t>HIDE NDP</t>
  </si>
  <si>
    <t>HIDE TAR</t>
  </si>
  <si>
    <t>PRT TAR</t>
  </si>
  <si>
    <t>SM 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</si>
</sst>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  <numFmt numFmtId="167" formatCode="0.0"/>
    <numFmt numFmtId="168" formatCode="_-* #,##0.0_-;\-* #,##0.0_-;_-* &quot;-&quot;??_-;_-@_-"/>
    <numFmt numFmtId="169" formatCode="0.000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0"/>
      <name val="Roboto Condensed"/>
      <family val="2"/>
    </font>
    <font>
      <sz val="8"/>
      <name val="Roboto Condensed"/>
      <family val="2"/>
    </font>
    <font>
      <b/>
      <sz val="10"/>
      <color theme="0"/>
      <name val="Roboto Condensed"/>
      <family val="2"/>
    </font>
    <font>
      <sz val="10"/>
      <color theme="1"/>
      <name val="Roboto Condensed"/>
    </font>
    <font>
      <b/>
      <sz val="11"/>
      <color rgb="FFFF0000"/>
      <name val="Calibri"/>
      <family val="2"/>
      <scheme val="minor"/>
    </font>
    <font>
      <sz val="8"/>
      <color theme="0"/>
      <name val="Roboto Condensed"/>
      <family val="2"/>
    </font>
    <font>
      <sz val="8"/>
      <color theme="1"/>
      <name val="Roboto Condensed"/>
      <family val="2"/>
    </font>
    <font>
      <b/>
      <sz val="8"/>
      <color theme="1"/>
      <name val="Roboto Condensed"/>
    </font>
    <font>
      <b/>
      <sz val="8"/>
      <color theme="0"/>
      <name val="Roboto Condensed"/>
    </font>
    <font>
      <b/>
      <i/>
      <sz val="8"/>
      <color theme="0"/>
      <name val="Roboto Condensed"/>
    </font>
    <font>
      <sz val="8"/>
      <color theme="0"/>
      <name val="Roboto Condensed"/>
    </font>
    <font>
      <u val="singleAccounting"/>
      <sz val="8"/>
      <color theme="1"/>
      <name val="Roboto Condensed"/>
    </font>
    <font>
      <i/>
      <sz val="8"/>
      <color theme="1"/>
      <name val="Roboto Condensed"/>
    </font>
    <font>
      <b/>
      <sz val="8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theme="4"/>
      </patternFill>
    </fill>
    <fill>
      <patternFill patternType="solid">
        <fgColor theme="5"/>
        <bgColor theme="4"/>
      </patternFill>
    </fill>
    <fill>
      <patternFill patternType="solid">
        <fgColor theme="1"/>
        <bgColor theme="4"/>
      </patternFill>
    </fill>
    <fill>
      <patternFill patternType="solid">
        <fgColor rgb="FF4A708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theme="4"/>
      </patternFill>
    </fill>
    <fill>
      <patternFill patternType="solid">
        <fgColor rgb="FFFF99FF"/>
        <bgColor theme="4"/>
      </patternFill>
    </fill>
    <fill>
      <patternFill patternType="solid">
        <fgColor rgb="FF00FFFF"/>
        <bgColor indexed="64"/>
      </patternFill>
    </fill>
  </fills>
  <borders count="20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n">
        <color theme="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6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theme="4" tint="-0.24994659260841701"/>
      </left>
      <right style="dashed">
        <color theme="4" tint="-0.24994659260841701"/>
      </right>
      <top style="dashed">
        <color theme="4" tint="-0.24994659260841701"/>
      </top>
      <bottom style="dashed">
        <color theme="4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08">
    <xf numFmtId="0" fontId="0" fillId="0" borderId="0" xfId="0"/>
    <xf numFmtId="0" fontId="4" fillId="3" borderId="2" xfId="0" applyFont="1" applyFill="1" applyBorder="1"/>
    <xf numFmtId="0" fontId="4" fillId="3" borderId="2" xfId="0" applyFont="1" applyFill="1" applyBorder="1" applyAlignment="1">
      <alignment horizontal="right"/>
    </xf>
    <xf numFmtId="0" fontId="4" fillId="3" borderId="2" xfId="0" applyFont="1" applyFill="1" applyBorder="1" applyAlignment="1">
      <alignment vertical="center"/>
    </xf>
    <xf numFmtId="0" fontId="4" fillId="0" borderId="2" xfId="0" applyFont="1" applyBorder="1"/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top" wrapText="1"/>
    </xf>
    <xf numFmtId="0" fontId="5" fillId="2" borderId="2" xfId="0" applyFont="1" applyFill="1" applyBorder="1" applyAlignment="1">
      <alignment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0" fontId="6" fillId="5" borderId="2" xfId="0" applyFont="1" applyFill="1" applyBorder="1" applyAlignment="1">
      <alignment horizontal="right" vertical="top"/>
    </xf>
    <xf numFmtId="0" fontId="6" fillId="3" borderId="2" xfId="0" applyFont="1" applyFill="1" applyBorder="1" applyAlignment="1">
      <alignment horizontal="left" vertical="top" wrapText="1"/>
    </xf>
    <xf numFmtId="0" fontId="6" fillId="5" borderId="2" xfId="0" applyFont="1" applyFill="1" applyBorder="1" applyAlignment="1">
      <alignment horizontal="right" vertical="top" wrapText="1"/>
    </xf>
    <xf numFmtId="9" fontId="6" fillId="3" borderId="2" xfId="2" applyFont="1" applyFill="1" applyBorder="1" applyAlignment="1">
      <alignment horizontal="right" vertical="top"/>
    </xf>
    <xf numFmtId="0" fontId="6" fillId="3" borderId="3" xfId="0" applyFont="1" applyFill="1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6" fillId="0" borderId="2" xfId="0" applyFont="1" applyBorder="1" applyAlignment="1">
      <alignment horizontal="left" vertical="top" wrapText="1"/>
    </xf>
    <xf numFmtId="9" fontId="6" fillId="0" borderId="2" xfId="2" applyFont="1" applyBorder="1" applyAlignment="1">
      <alignment horizontal="right" vertical="top"/>
    </xf>
    <xf numFmtId="0" fontId="7" fillId="0" borderId="0" xfId="0" applyFont="1"/>
    <xf numFmtId="0" fontId="2" fillId="0" borderId="0" xfId="0" applyFont="1"/>
    <xf numFmtId="165" fontId="3" fillId="6" borderId="0" xfId="1" applyNumberFormat="1" applyFont="1" applyFill="1" applyAlignment="1">
      <alignment vertical="center"/>
    </xf>
    <xf numFmtId="165" fontId="8" fillId="6" borderId="0" xfId="1" applyNumberFormat="1" applyFont="1" applyFill="1" applyBorder="1" applyAlignment="1">
      <alignment vertical="center"/>
    </xf>
    <xf numFmtId="9" fontId="8" fillId="6" borderId="0" xfId="2" applyFont="1" applyFill="1" applyBorder="1" applyAlignment="1">
      <alignment vertical="center"/>
    </xf>
    <xf numFmtId="165" fontId="9" fillId="0" borderId="0" xfId="1" applyNumberFormat="1" applyFont="1" applyBorder="1" applyAlignment="1">
      <alignment vertical="center"/>
    </xf>
    <xf numFmtId="165" fontId="9" fillId="0" borderId="0" xfId="1" applyNumberFormat="1" applyFont="1" applyFill="1" applyBorder="1" applyAlignment="1">
      <alignment vertical="center"/>
    </xf>
    <xf numFmtId="9" fontId="4" fillId="4" borderId="0" xfId="2" applyFont="1" applyFill="1" applyBorder="1" applyAlignment="1">
      <alignment horizontal="center" vertical="center"/>
    </xf>
    <xf numFmtId="0" fontId="10" fillId="7" borderId="0" xfId="1" applyNumberFormat="1" applyFont="1" applyFill="1" applyBorder="1" applyAlignment="1">
      <alignment horizontal="right" vertical="center"/>
    </xf>
    <xf numFmtId="165" fontId="9" fillId="7" borderId="0" xfId="1" applyNumberFormat="1" applyFont="1" applyFill="1" applyBorder="1" applyAlignment="1">
      <alignment vertical="center"/>
    </xf>
    <xf numFmtId="9" fontId="4" fillId="4" borderId="0" xfId="2" applyFont="1" applyFill="1" applyAlignment="1">
      <alignment horizontal="center" vertical="center"/>
    </xf>
    <xf numFmtId="0" fontId="11" fillId="6" borderId="0" xfId="1" applyNumberFormat="1" applyFont="1" applyFill="1" applyBorder="1" applyAlignment="1">
      <alignment vertical="center"/>
    </xf>
    <xf numFmtId="0" fontId="12" fillId="6" borderId="0" xfId="1" applyNumberFormat="1" applyFont="1" applyFill="1" applyBorder="1" applyAlignment="1">
      <alignment horizontal="left" vertical="center"/>
    </xf>
    <xf numFmtId="165" fontId="9" fillId="4" borderId="0" xfId="1" applyNumberFormat="1" applyFont="1" applyFill="1" applyBorder="1" applyAlignment="1">
      <alignment horizontal="right" vertical="center"/>
    </xf>
    <xf numFmtId="165" fontId="9" fillId="4" borderId="0" xfId="1" applyNumberFormat="1" applyFont="1" applyFill="1" applyBorder="1" applyAlignment="1">
      <alignment vertical="center"/>
    </xf>
    <xf numFmtId="165" fontId="13" fillId="6" borderId="0" xfId="1" applyNumberFormat="1" applyFont="1" applyFill="1" applyBorder="1" applyAlignment="1">
      <alignment vertical="center"/>
    </xf>
    <xf numFmtId="9" fontId="11" fillId="6" borderId="0" xfId="2" applyFont="1" applyFill="1" applyBorder="1" applyAlignment="1">
      <alignment vertical="center"/>
    </xf>
    <xf numFmtId="165" fontId="9" fillId="0" borderId="0" xfId="1" applyNumberFormat="1" applyFont="1" applyFill="1" applyBorder="1" applyAlignment="1">
      <alignment horizontal="right" vertical="center"/>
    </xf>
    <xf numFmtId="9" fontId="9" fillId="0" borderId="0" xfId="2" quotePrefix="1" applyFont="1" applyBorder="1" applyAlignment="1">
      <alignment vertical="center"/>
    </xf>
    <xf numFmtId="165" fontId="9" fillId="0" borderId="0" xfId="1" applyNumberFormat="1" applyFont="1" applyBorder="1" applyAlignment="1">
      <alignment horizontal="left" vertical="top" wrapText="1"/>
    </xf>
    <xf numFmtId="165" fontId="10" fillId="0" borderId="0" xfId="1" applyNumberFormat="1" applyFont="1" applyFill="1" applyBorder="1" applyAlignment="1">
      <alignment horizontal="left" wrapText="1"/>
    </xf>
    <xf numFmtId="0" fontId="15" fillId="7" borderId="6" xfId="0" applyFont="1" applyFill="1" applyBorder="1" applyAlignment="1">
      <alignment horizontal="left" vertical="top" wrapText="1"/>
    </xf>
    <xf numFmtId="165" fontId="9" fillId="0" borderId="0" xfId="1" applyNumberFormat="1" applyFont="1" applyBorder="1" applyAlignment="1">
      <alignment horizontal="left" vertical="center" wrapText="1"/>
    </xf>
    <xf numFmtId="165" fontId="10" fillId="0" borderId="0" xfId="1" applyNumberFormat="1" applyFont="1" applyFill="1" applyBorder="1" applyAlignment="1">
      <alignment horizontal="left" vertical="center" wrapText="1"/>
    </xf>
    <xf numFmtId="0" fontId="15" fillId="7" borderId="6" xfId="0" applyFont="1" applyFill="1" applyBorder="1" applyAlignment="1">
      <alignment horizontal="left" vertical="center" wrapText="1"/>
    </xf>
    <xf numFmtId="165" fontId="14" fillId="0" borderId="0" xfId="1" quotePrefix="1" applyNumberFormat="1" applyFont="1" applyFill="1" applyBorder="1" applyAlignment="1">
      <alignment vertical="top" wrapText="1"/>
    </xf>
    <xf numFmtId="166" fontId="0" fillId="0" borderId="0" xfId="1" applyNumberFormat="1" applyFont="1"/>
    <xf numFmtId="166" fontId="0" fillId="0" borderId="0" xfId="0" applyNumberFormat="1"/>
    <xf numFmtId="165" fontId="16" fillId="8" borderId="4" xfId="1" applyNumberFormat="1" applyFont="1" applyFill="1" applyBorder="1" applyAlignment="1">
      <alignment vertical="center"/>
    </xf>
    <xf numFmtId="165" fontId="17" fillId="2" borderId="4" xfId="1" applyNumberFormat="1" applyFont="1" applyFill="1" applyBorder="1" applyAlignment="1">
      <alignment vertical="center"/>
    </xf>
    <xf numFmtId="165" fontId="17" fillId="9" borderId="4" xfId="1" applyNumberFormat="1" applyFont="1" applyFill="1" applyBorder="1" applyAlignment="1">
      <alignment vertical="center"/>
    </xf>
    <xf numFmtId="0" fontId="3" fillId="7" borderId="4" xfId="0" applyFont="1" applyFill="1" applyBorder="1" applyAlignment="1">
      <alignment vertical="center"/>
    </xf>
    <xf numFmtId="0" fontId="3" fillId="7" borderId="7" xfId="0" applyFont="1" applyFill="1" applyBorder="1" applyAlignment="1">
      <alignment vertical="center"/>
    </xf>
    <xf numFmtId="0" fontId="6" fillId="0" borderId="3" xfId="0" applyFont="1" applyBorder="1" applyAlignment="1">
      <alignment vertical="top" wrapText="1"/>
    </xf>
    <xf numFmtId="9" fontId="6" fillId="3" borderId="2" xfId="2" applyFont="1" applyFill="1" applyBorder="1" applyAlignment="1">
      <alignment horizontal="right" vertical="top" wrapText="1"/>
    </xf>
    <xf numFmtId="9" fontId="6" fillId="0" borderId="2" xfId="2" applyFont="1" applyBorder="1" applyAlignment="1">
      <alignment horizontal="right" vertical="top" wrapText="1"/>
    </xf>
    <xf numFmtId="165" fontId="0" fillId="0" borderId="0" xfId="1" applyNumberFormat="1" applyFont="1" applyFill="1"/>
    <xf numFmtId="165" fontId="0" fillId="0" borderId="0" xfId="0" applyNumberFormat="1"/>
    <xf numFmtId="0" fontId="10" fillId="6" borderId="0" xfId="0" applyFont="1" applyFill="1" applyAlignment="1">
      <alignment horizontal="left" vertical="top" wrapText="1"/>
    </xf>
    <xf numFmtId="43" fontId="0" fillId="0" borderId="0" xfId="0" applyNumberFormat="1"/>
    <xf numFmtId="165" fontId="9" fillId="4" borderId="0" xfId="1" applyNumberFormat="1" applyFont="1" applyFill="1" applyBorder="1" applyAlignment="1">
      <alignment horizontal="left" vertical="center" wrapText="1"/>
    </xf>
    <xf numFmtId="165" fontId="17" fillId="10" borderId="4" xfId="1" applyNumberFormat="1" applyFont="1" applyFill="1" applyBorder="1" applyAlignment="1">
      <alignment vertical="center"/>
    </xf>
    <xf numFmtId="165" fontId="4" fillId="0" borderId="2" xfId="1" applyNumberFormat="1" applyFont="1" applyFill="1" applyBorder="1" applyAlignment="1"/>
    <xf numFmtId="0" fontId="4" fillId="0" borderId="5" xfId="0" applyFont="1" applyFill="1" applyBorder="1"/>
    <xf numFmtId="0" fontId="4" fillId="0" borderId="5" xfId="0" applyFont="1" applyFill="1" applyBorder="1" applyAlignment="1">
      <alignment horizontal="right"/>
    </xf>
    <xf numFmtId="0" fontId="4" fillId="0" borderId="5" xfId="0" applyFont="1" applyFill="1" applyBorder="1" applyAlignment="1">
      <alignment vertical="center"/>
    </xf>
    <xf numFmtId="165" fontId="4" fillId="0" borderId="5" xfId="0" applyNumberFormat="1" applyFont="1" applyFill="1" applyBorder="1"/>
    <xf numFmtId="165" fontId="19" fillId="11" borderId="8" xfId="3" applyNumberFormat="1" applyFont="1" applyFill="1" applyBorder="1" applyAlignment="1">
      <alignment horizontal="left" vertical="center" wrapText="1"/>
    </xf>
    <xf numFmtId="165" fontId="19" fillId="11" borderId="9" xfId="3" applyNumberFormat="1" applyFont="1" applyFill="1" applyBorder="1" applyAlignment="1">
      <alignment horizontal="left" vertical="center" wrapText="1"/>
    </xf>
    <xf numFmtId="165" fontId="19" fillId="11" borderId="10" xfId="3" applyNumberFormat="1" applyFont="1" applyFill="1" applyBorder="1" applyAlignment="1">
      <alignment horizontal="left" vertical="center" wrapText="1"/>
    </xf>
    <xf numFmtId="9" fontId="19" fillId="11" borderId="9" xfId="3" applyNumberFormat="1" applyFont="1" applyFill="1" applyBorder="1" applyAlignment="1">
      <alignment horizontal="left" vertical="center" wrapText="1"/>
    </xf>
    <xf numFmtId="0" fontId="20" fillId="12" borderId="11" xfId="0" applyFont="1" applyFill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 wrapText="1"/>
    </xf>
    <xf numFmtId="0" fontId="21" fillId="12" borderId="12" xfId="0" applyFont="1" applyFill="1" applyBorder="1" applyAlignment="1">
      <alignment horizontal="left" vertical="center" wrapText="1"/>
    </xf>
    <xf numFmtId="0" fontId="20" fillId="0" borderId="13" xfId="0" applyFont="1" applyBorder="1" applyAlignment="1">
      <alignment horizontal="left" vertical="center" wrapText="1"/>
    </xf>
    <xf numFmtId="165" fontId="0" fillId="0" borderId="14" xfId="0" applyNumberFormat="1" applyBorder="1"/>
    <xf numFmtId="0" fontId="20" fillId="0" borderId="0" xfId="0" applyFont="1" applyAlignment="1">
      <alignment horizontal="left" vertical="center" wrapText="1"/>
    </xf>
    <xf numFmtId="9" fontId="0" fillId="0" borderId="0" xfId="0" applyNumberFormat="1"/>
    <xf numFmtId="0" fontId="20" fillId="12" borderId="15" xfId="0" applyFont="1" applyFill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center" wrapText="1"/>
    </xf>
    <xf numFmtId="0" fontId="20" fillId="0" borderId="15" xfId="0" applyFont="1" applyBorder="1" applyAlignment="1">
      <alignment horizontal="left" vertical="center" wrapText="1"/>
    </xf>
    <xf numFmtId="0" fontId="20" fillId="0" borderId="17" xfId="0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 wrapText="1"/>
    </xf>
    <xf numFmtId="0" fontId="20" fillId="0" borderId="19" xfId="0" applyFont="1" applyBorder="1" applyAlignment="1">
      <alignment horizontal="left" vertical="center" wrapText="1"/>
    </xf>
    <xf numFmtId="0" fontId="8" fillId="6" borderId="0" xfId="1" applyNumberFormat="1" applyFont="1" applyFill="1" applyBorder="1" applyAlignment="1">
      <alignment horizontal="left" vertical="center"/>
    </xf>
    <xf numFmtId="165" fontId="19" fillId="13" borderId="9" xfId="3" applyNumberFormat="1" applyFont="1" applyFill="1" applyBorder="1" applyAlignment="1">
      <alignment horizontal="left" vertical="center" wrapText="1"/>
    </xf>
    <xf numFmtId="167" fontId="0" fillId="0" borderId="0" xfId="0" applyNumberFormat="1"/>
    <xf numFmtId="165" fontId="10" fillId="0" borderId="0" xfId="1" applyNumberFormat="1" applyFont="1" applyBorder="1" applyAlignment="1">
      <alignment horizontal="left" vertical="top" wrapText="1"/>
    </xf>
    <xf numFmtId="168" fontId="10" fillId="0" borderId="0" xfId="1" applyNumberFormat="1" applyFont="1" applyBorder="1" applyAlignment="1">
      <alignment horizontal="left" vertical="top" wrapText="1"/>
    </xf>
    <xf numFmtId="165" fontId="9" fillId="0" borderId="0" xfId="1" quotePrefix="1" applyNumberFormat="1" applyFont="1" applyBorder="1" applyAlignment="1">
      <alignment horizontal="left" vertical="top" wrapText="1"/>
    </xf>
    <xf numFmtId="165" fontId="9" fillId="0" borderId="0" xfId="1" quotePrefix="1" applyNumberFormat="1" applyFont="1" applyBorder="1" applyAlignment="1">
      <alignment vertical="center"/>
    </xf>
    <xf numFmtId="0" fontId="10" fillId="0" borderId="0" xfId="1" applyNumberFormat="1" applyFont="1" applyFill="1" applyBorder="1" applyAlignment="1">
      <alignment horizontal="right" vertical="center"/>
    </xf>
    <xf numFmtId="165" fontId="17" fillId="10" borderId="4" xfId="1" applyNumberFormat="1" applyFont="1" applyFill="1" applyBorder="1" applyAlignment="1">
      <alignment vertical="center" wrapText="1"/>
    </xf>
    <xf numFmtId="165" fontId="0" fillId="0" borderId="0" xfId="1" applyNumberFormat="1" applyFont="1" applyBorder="1" applyAlignment="1">
      <alignment horizontal="left" vertical="center" wrapText="1"/>
    </xf>
    <xf numFmtId="165" fontId="17" fillId="14" borderId="4" xfId="1" applyNumberFormat="1" applyFont="1" applyFill="1" applyBorder="1" applyAlignment="1">
      <alignment vertical="center"/>
    </xf>
    <xf numFmtId="166" fontId="0" fillId="0" borderId="0" xfId="0" applyNumberFormat="1" applyFill="1"/>
    <xf numFmtId="166" fontId="0" fillId="0" borderId="0" xfId="1" applyNumberFormat="1" applyFont="1" applyFill="1"/>
    <xf numFmtId="165" fontId="17" fillId="15" borderId="4" xfId="1" applyNumberFormat="1" applyFont="1" applyFill="1" applyBorder="1" applyAlignment="1">
      <alignment vertical="center" wrapText="1"/>
    </xf>
    <xf numFmtId="166" fontId="0" fillId="4" borderId="0" xfId="1" applyNumberFormat="1" applyFont="1" applyFill="1"/>
    <xf numFmtId="169" fontId="0" fillId="0" borderId="0" xfId="2" applyNumberFormat="1" applyFont="1"/>
    <xf numFmtId="169" fontId="0" fillId="0" borderId="0" xfId="0" applyNumberFormat="1"/>
    <xf numFmtId="10" fontId="9" fillId="0" borderId="0" xfId="2" applyNumberFormat="1" applyFont="1" applyBorder="1" applyAlignment="1">
      <alignment vertical="center"/>
    </xf>
    <xf numFmtId="165" fontId="11" fillId="6" borderId="0" xfId="1" applyNumberFormat="1" applyFont="1" applyFill="1" applyBorder="1" applyAlignment="1">
      <alignment vertical="center"/>
    </xf>
    <xf numFmtId="165" fontId="10" fillId="16" borderId="0" xfId="1" applyNumberFormat="1" applyFont="1" applyFill="1" applyBorder="1" applyAlignment="1">
      <alignment horizontal="left" wrapText="1"/>
    </xf>
    <xf numFmtId="165" fontId="0" fillId="16" borderId="0" xfId="1" applyNumberFormat="1" applyFont="1" applyFill="1" applyBorder="1" applyAlignment="1">
      <alignment horizontal="left" vertical="center" wrapText="1"/>
    </xf>
    <xf numFmtId="165" fontId="10" fillId="16" borderId="0" xfId="1" applyNumberFormat="1" applyFont="1" applyFill="1" applyBorder="1" applyAlignment="1">
      <alignment horizontal="left" vertical="center" wrapText="1"/>
    </xf>
  </cellXfs>
  <cellStyles count="4">
    <cellStyle name="Comma" xfId="1" builtinId="3"/>
    <cellStyle name="Comma 2" xfId="3" xr:uid="{16C1F83A-E2A5-43E6-9819-EDA5EA5618EB}"/>
    <cellStyle name="Normal" xfId="0" builtinId="0"/>
    <cellStyle name="Percent" xfId="2" builtinId="5"/>
  </cellStyles>
  <dxfs count="118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3" formatCode="0%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_-* #,##0_-;\-* #,##0_-;_-* &quot;-&quot;??_-;_-@_-"/>
      <alignment horizontal="left" vertical="center" textRotation="0" wrapText="1" indent="0" justifyLastLine="0" shrinkToFit="0" readingOrder="0"/>
      <border diagonalUp="0" diagonalDown="0">
        <left style="dashed">
          <color theme="4" tint="-0.24994659260841701"/>
        </left>
        <right style="dashed">
          <color theme="4" tint="-0.24994659260841701"/>
        </right>
        <top style="dashed">
          <color theme="4" tint="-0.24994659260841701"/>
        </top>
        <bottom style="dashed">
          <color theme="4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rgb="FF000000"/>
        </left>
        <right style="thin">
          <color indexed="64"/>
        </right>
        <top style="thin">
          <color rgb="FF000000"/>
        </top>
        <bottom style="thin">
          <color rgb="FF000000"/>
        </bottom>
      </border>
    </dxf>
    <dxf>
      <border outline="0"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65" formatCode="_-* #,##0_-;\-* #,##0_-;_-* &quot;-&quot;??_-;_-@_-"/>
      <fill>
        <patternFill patternType="solid">
          <fgColor indexed="64"/>
          <bgColor rgb="FF4A708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6" formatCode="_(* #,##0_);_(* \(#,##0\);_(* &quot;-&quot;??_);_(@_)"/>
    </dxf>
    <dxf>
      <numFmt numFmtId="166" formatCode="_(* #,##0_);_(* \(#,##0\);_(* &quot;-&quot;??_);_(@_)"/>
    </dxf>
    <dxf>
      <numFmt numFmtId="166" formatCode="_(* #,##0_);_(* \(#,##0\);_(* &quot;-&quot;??_);_(@_)"/>
    </dxf>
    <dxf>
      <numFmt numFmtId="166" formatCode="_(* #,##0_);_(* \(#,##0\);_(* &quot;-&quot;??_);_(@_)"/>
    </dxf>
    <dxf>
      <numFmt numFmtId="166" formatCode="_(* #,##0_);_(* \(#,##0\);_(* &quot;-&quot;??_);_(@_)"/>
    </dxf>
    <dxf>
      <numFmt numFmtId="166" formatCode="_(* #,##0_);_(* \(#,##0\);_(* &quot;-&quot;??_);_(@_)"/>
    </dxf>
    <dxf>
      <numFmt numFmtId="166" formatCode="_(* #,##0_);_(* \(#,##0\);_(* &quot;-&quot;??_);_(@_)"/>
    </dxf>
    <dxf>
      <numFmt numFmtId="166" formatCode="_(* #,##0_);_(* \(#,##0\);_(* &quot;-&quot;??_);_(@_)"/>
    </dxf>
    <dxf>
      <numFmt numFmtId="166" formatCode="_(* #,##0_);_(* \(#,##0\);_(* &quot;-&quot;??_);_(@_)"/>
    </dxf>
    <dxf>
      <numFmt numFmtId="166" formatCode="_(* #,##0_);_(* \(#,##0\);_(* &quot;-&quot;??_);_(@_)"/>
    </dxf>
    <dxf>
      <numFmt numFmtId="166" formatCode="_(* #,##0_);_(* \(#,##0\);_(* &quot;-&quot;??_);_(@_)"/>
    </dxf>
    <dxf>
      <numFmt numFmtId="166" formatCode="_(* #,##0_);_(* \(#,##0\);_(* &quot;-&quot;??_);_(@_)"/>
    </dxf>
    <dxf>
      <numFmt numFmtId="166" formatCode="_(* #,##0_);_(* \(#,##0\);_(* &quot;-&quot;??_);_(@_)"/>
    </dxf>
    <dxf>
      <numFmt numFmtId="166" formatCode="_(* #,##0_);_(* \(#,##0\);_(* &quot;-&quot;??_);_(@_)"/>
    </dxf>
    <dxf>
      <numFmt numFmtId="166" formatCode="_(* #,##0_);_(* \(#,##0\);_(* &quot;-&quot;??_);_(@_)"/>
    </dxf>
    <dxf>
      <numFmt numFmtId="166" formatCode="_(* #,##0_);_(* \(#,##0\);_(* &quot;-&quot;??_);_(@_)"/>
    </dxf>
    <dxf>
      <numFmt numFmtId="166" formatCode="_(* #,##0_);_(* \(#,##0\);_(* &quot;-&quot;??_);_(@_)"/>
    </dxf>
    <dxf>
      <numFmt numFmtId="166" formatCode="_(* #,##0_);_(* \(#,##0\);_(* &quot;-&quot;??_);_(@_)"/>
    </dxf>
    <dxf>
      <numFmt numFmtId="166" formatCode="_(* #,##0_);_(* \(#,##0\);_(* &quot;-&quot;??_);_(@_)"/>
    </dxf>
    <dxf>
      <numFmt numFmtId="166" formatCode="_(* #,##0_);_(* \(#,##0\);_(* &quot;-&quot;??_);_(@_)"/>
    </dxf>
    <dxf>
      <numFmt numFmtId="166" formatCode="_(* #,##0_);_(* \(#,##0\);_(* &quot;-&quot;??_);_(@_)"/>
    </dxf>
    <dxf>
      <numFmt numFmtId="166" formatCode="_(* #,##0_);_(* \(#,##0\);_(* &quot;-&quot;??_);_(@_)"/>
    </dxf>
    <dxf>
      <numFmt numFmtId="166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_(* #,##0_);_(* \(#,##0\);_(* &quot;-&quot;??_);_(@_)"/>
    </dxf>
    <dxf>
      <numFmt numFmtId="166" formatCode="_(* #,##0_);_(* \(#,##0\);_(* &quot;-&quot;??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6" formatCode="_(* #,##0_);_(* \(#,##0\);_(* &quot;-&quot;??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_(* #,##0_);_(* \(#,##0\);_(* &quot;-&quot;??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_(* #,##0_);_(* \(#,##0\);_(* &quot;-&quot;??_);_(@_)"/>
      <fill>
        <patternFill patternType="none">
          <fgColor indexed="64"/>
          <bgColor auto="1"/>
        </patternFill>
      </fill>
    </dxf>
    <dxf>
      <numFmt numFmtId="166" formatCode="_(* #,##0_);_(* \(#,##0\);_(* &quot;-&quot;??_);_(@_)"/>
    </dxf>
    <dxf>
      <numFmt numFmtId="166" formatCode="_(* #,##0_);_(* \(#,##0\);_(* &quot;-&quot;??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* #,##0_-;\-* #,##0_-;_-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* #,##0_-;\-* #,##0_-;_-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* #,##0_-;\-* #,##0_-;_-* &quot;-&quot;??_-;_-@_-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* #,##0_-;\-* #,##0_-;_-* &quot;-&quot;??_-;_-@_-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* #,##0_-;\-* #,##0_-;_-* &quot;-&quot;??_-;_-@_-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* #,##0_-;\-* #,##0_-;_-* &quot;-&quot;??_-;_-@_-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* #,##0_-;\-* #,##0_-;_-* &quot;-&quot;??_-;_-@_-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* #,##0_-;\-* #,##0_-;_-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* #,##0_-;\-* #,##0_-;_-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* #,##0_-;\-* #,##0_-;_-* &quot;-&quot;??_-;_-@_-"/>
      <fill>
        <patternFill patternType="none">
          <fgColor indexed="64"/>
          <bgColor indexed="65"/>
        </patternFill>
      </fill>
    </dxf>
    <dxf>
      <border outline="0">
        <top style="thin">
          <color rgb="FF8EA9DB"/>
        </top>
      </border>
    </dxf>
    <dxf>
      <border outline="0"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Roboto Condensed"/>
        <family val="2"/>
        <scheme val="none"/>
      </font>
      <fill>
        <patternFill patternType="solid">
          <fgColor indexed="64"/>
          <bgColor theme="5" tint="0.5999938962981048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 tint="0.39997558519241921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Roboto Condensed"/>
        <family val="2"/>
        <scheme val="none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Roboto Condensed"/>
        <family val="2"/>
        <scheme val="none"/>
      </font>
      <numFmt numFmtId="165" formatCode="_-* #,##0_-;\-* #,##0_-;_-* &quot;-&quot;??_-;_-@_-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Roboto Condensed"/>
        <family val="2"/>
        <scheme val="none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Roboto Condensed"/>
        <family val="2"/>
        <scheme val="none"/>
      </font>
      <numFmt numFmtId="165" formatCode="_-* #,##0_-;\-* #,##0_-;_-* &quot;-&quot;??_-;_-@_-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Roboto Condensed"/>
        <family val="2"/>
        <scheme val="none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Roboto Condensed"/>
        <family val="2"/>
        <scheme val="none"/>
      </font>
      <numFmt numFmtId="165" formatCode="_-* #,##0_-;\-* #,##0_-;_-* &quot;-&quot;??_-;_-@_-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Roboto Condensed"/>
        <family val="2"/>
        <scheme val="none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Roboto Condensed"/>
        <family val="2"/>
        <scheme val="none"/>
      </font>
      <numFmt numFmtId="165" formatCode="_-* #,##0_-;\-* #,##0_-;_-* &quot;-&quot;??_-;_-@_-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Roboto Condensed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Roboto Condensed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Roboto Condensed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Roboto Condensed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Roboto Condensed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Roboto Condensed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Roboto Condensed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Roboto Condensed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Roboto Condensed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Roboto Condensed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Roboto Condensed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Roboto Condensed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Roboto Condensed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Roboto Condensed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Roboto Condensed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Roboto Condensed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rgb="FF8EA9DB"/>
        </top>
      </border>
    </dxf>
    <dxf>
      <fill>
        <patternFill patternType="none">
          <fgColor indexed="64"/>
          <bgColor auto="1"/>
        </patternFill>
      </fill>
    </dxf>
    <dxf>
      <border outline="0"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Roboto Condensed"/>
        <family val="2"/>
        <scheme val="none"/>
      </font>
      <fill>
        <patternFill patternType="solid">
          <fgColor rgb="FFD9E1F2"/>
          <bgColor rgb="FFD9E1F2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Roboto Condensed"/>
        <family val="2"/>
        <scheme val="none"/>
      </font>
      <fill>
        <patternFill patternType="solid">
          <fgColor theme="4"/>
          <bgColor theme="4"/>
        </patternFill>
      </fill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00FFFF"/>
      <color rgb="FFFF99FF"/>
      <color rgb="FF66FF66"/>
      <color rgb="FFF8696B"/>
      <color rgb="FF63BE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EA2D1BA-A9B9-4749-A2E2-451556FB7FFB}" name="Table136" displayName="Table136" ref="A1:L11" totalsRowCount="1" headerRowDxfId="117" dataDxfId="115" totalsRowDxfId="113" headerRowBorderDxfId="116" tableBorderDxfId="114" totalsRowBorderDxfId="112" dataCellStyle="Comma">
  <autoFilter ref="A1:L10" xr:uid="{B9F96021-AEDE-4526-82A6-051CC7B4D328}"/>
  <tableColumns count="12">
    <tableColumn id="1" xr3:uid="{70496B03-B5AF-4614-AC5B-576BFA46E3CF}" name="Sector" dataDxfId="111" totalsRowDxfId="110"/>
    <tableColumn id="2" xr3:uid="{A22FFBEF-8F02-475D-A290-A8F75767F3A8}" name="Sector Objective 1 percentage" dataDxfId="109" totalsRowDxfId="108"/>
    <tableColumn id="3" xr3:uid="{9E47BDC9-C83D-4F5B-868A-807437C67CD0}" name="Sector Objective 2 percentage" dataDxfId="107" totalsRowDxfId="106"/>
    <tableColumn id="4" xr3:uid="{2C0D8958-D596-4D65-8F83-072192598BED}" name="aCode" dataDxfId="105" totalsRowDxfId="104"/>
    <tableColumn id="5" xr3:uid="{08770199-3C30-432F-8424-408E27FCDFFB}" name="Activity" dataDxfId="103" totalsRowDxfId="102"/>
    <tableColumn id="6" xr3:uid="{4D731BD0-6815-42A0-A34A-A32913353D7E}" name="i1Code" dataDxfId="101" totalsRowDxfId="100"/>
    <tableColumn id="7" xr3:uid="{5A3F63ED-9141-4ED5-8A4E-D14673A17E2F}" name="Indicator1" dataDxfId="99" totalsRowDxfId="98"/>
    <tableColumn id="8" xr3:uid="{1E0CFEEE-B4B9-4F8D-A898-1BE7AECAD705}" name="Unit for indicator1" dataDxfId="97" totalsRowDxfId="96"/>
    <tableColumn id="9" xr3:uid="{3397D7F5-10BC-43B4-8DB4-A9A6CA6D506C}" name="Unit Cost" dataDxfId="95" totalsRowDxfId="94" dataCellStyle="Comma"/>
    <tableColumn id="10" xr3:uid="{6122A7EB-F58F-4A6E-9857-49324695A085}" name="Baseline" dataDxfId="93" totalsRowDxfId="92" dataCellStyle="Comma"/>
    <tableColumn id="11" xr3:uid="{78BB6D3D-82E5-4C3C-8FEF-6536C233E935}" name="Target" dataDxfId="91" totalsRowDxfId="90" dataCellStyle="Comma"/>
    <tableColumn id="12" xr3:uid="{56615E27-6BD6-44D2-B0B7-FB3BFBE9BDC6}" name="Cost" totalsRowFunction="sum" dataDxfId="89" totalsRowDxfId="88" dataCellStyle="Comma">
      <calculatedColumnFormula>Table136[[#This Row],[Unit Cost]]*Table136[[#This Row],[Target]]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D6F9A87-FF4D-4FC4-87B6-E95335F80B53}" name="Table24" displayName="Table24" ref="A28:AI218" totalsRowShown="0" headerRowDxfId="87" headerRowBorderDxfId="86" tableBorderDxfId="85">
  <autoFilter ref="A28:AI218" xr:uid="{7B175F40-430A-4FE0-A77C-520A4E7E7DF6}"/>
  <sortState xmlns:xlrd2="http://schemas.microsoft.com/office/spreadsheetml/2017/richdata2" ref="A29:AI218">
    <sortCondition ref="A29:A218"/>
    <sortCondition ref="C29:C218"/>
  </sortState>
  <tableColumns count="35">
    <tableColumn id="1" xr3:uid="{B77BB68B-B036-465A-9E59-76111B9C5C5D}" name="STATE"/>
    <tableColumn id="2" xr3:uid="{8044C5AC-17E5-4804-ACA8-02182A0C4ACA}" name="Pcode Admin2"/>
    <tableColumn id="3" xr3:uid="{097DC460-8072-4E2E-AB6A-E385A50F375C}" name="LOCALITY"/>
    <tableColumn id="24" xr3:uid="{4A17739E-5F24-4584-8DEC-425487812E87}" name="Priority" dataDxfId="84" totalsRowDxfId="83" dataCellStyle="Comma" totalsRowCellStyle="Comma">
      <calculatedColumnFormula>_xlfn.XLOOKUP($B29, 'Prioritization calculation'!D:D, 'Prioritization calculation'!X:X, "")</calculatedColumnFormula>
    </tableColumn>
    <tableColumn id="4" xr3:uid="{3B2425FA-F82B-42B3-87EA-3088D9FC78A2}" name="SNFI Severity" dataDxfId="82" totalsRowDxfId="81" dataCellStyle="Comma" totalsRowCellStyle="Comma"/>
    <tableColumn id="30" xr3:uid="{6728DF91-8B4B-477F-8568-19843F997F31}" name="Inter-Sectoral_x000a_Severity" dataDxfId="80" totalsRowDxfId="79" dataCellStyle="Comma" totalsRowCellStyle="Comma"/>
    <tableColumn id="29" xr3:uid="{B3DC24C5-80A0-4BA5-87AD-F470951E180B}" name="Access" dataDxfId="78" totalsRowDxfId="77" dataCellStyle="Comma" totalsRowCellStyle="Comma"/>
    <tableColumn id="27" xr3:uid="{F28D7155-6C7D-4D48-B531-CB48BD50F2A0}" name="New _x000a_Displacement" dataDxfId="76" totalsRowDxfId="75" dataCellStyle="Comma" totalsRowCellStyle="Comma"/>
    <tableColumn id="31" xr3:uid="{14E042C0-C31F-45B2-9297-D4279DEB5ED4}" name="3-Year People Reached" dataDxfId="74" totalsRowDxfId="73" dataCellStyle="Comma" totalsRowCellStyle="Comma"/>
    <tableColumn id="25" xr3:uid="{634CDB83-26E3-42CE-9A6F-239F2EDEAA73}" name="People Reached (post April 15)" dataDxfId="72" totalsRowDxfId="71" dataCellStyle="Comma" totalsRowCellStyle="Comma"/>
    <tableColumn id="26" xr3:uid="{1AA377D7-C632-4F2F-B6D1-8BB1559FEDC2}" name="Refugees Reached" dataDxfId="70" totalsRowDxfId="69" dataCellStyle="Comma" totalsRowCellStyle="Comma"/>
    <tableColumn id="28" xr3:uid="{88E88382-4A22-4AFA-B9E1-EF89FAAE3382}" name="Affected by_x000a_Floods" dataDxfId="68" totalsRowDxfId="67" dataCellStyle="Comma" totalsRowCellStyle="Comma"/>
    <tableColumn id="23" xr3:uid="{D1EA6E20-4549-47EA-B44F-9F9AC5170DB2}" name="PRT TAR" dataDxfId="66" totalsRowDxfId="65" dataCellStyle="Comma" totalsRowCellStyle="Comma"/>
    <tableColumn id="22" xr3:uid="{5304BBFF-5B4D-471D-8D96-E877DA1FC41F}" name="SM TAR" dataDxfId="64" totalsRowDxfId="63" dataCellStyle="Comma" totalsRowCellStyle="Comma"/>
    <tableColumn id="5" xr3:uid="{8E0E43A0-0028-4E0A-A23B-1160DB45CC17}" name="SHL_PIN" dataDxfId="62" totalsRowDxfId="61">
      <calculatedColumnFormula>SUM(Table24[[#This Row],[SHL_PIN_IDPs]:[SHL_PIN_NDP]])</calculatedColumnFormula>
    </tableColumn>
    <tableColumn id="6" xr3:uid="{EF79EB99-A74B-4394-9491-21C63EBDF59F}" name="SHL_PIN_IDPs" dataDxfId="60" totalsRowDxfId="59" dataCellStyle="Comma" totalsRowCellStyle="Comma"/>
    <tableColumn id="7" xr3:uid="{A896F675-9AEC-4E6A-94A6-559B2D8EF175}" name="SHL_PIN_HC" dataDxfId="58" totalsRowDxfId="57" dataCellStyle="Comma" totalsRowCellStyle="Comma"/>
    <tableColumn id="8" xr3:uid="{24EF5CD8-E2C6-4D44-B3E0-B0F26FD76377}" name="SHL_PIN_NDP" dataDxfId="56" dataCellStyle="Comma" totalsRowCellStyle="Comma"/>
    <tableColumn id="9" xr3:uid="{327CCA92-988C-4D9E-930D-581EC1FA9FDE}" name="SHL_TAR" dataDxfId="55" totalsRowDxfId="54" dataCellStyle="Comma" totalsRowCellStyle="Comma">
      <calculatedColumnFormula>ROUND(SUM(Table24[[#This Row],[SHL_TAR_IDPs]:[SHL_TAR_NDP]]),0)</calculatedColumnFormula>
    </tableColumn>
    <tableColumn id="32" xr3:uid="{2DF32081-6695-4F90-8197-6E24553074C8}" name="HIDE TAR" dataDxfId="53" dataCellStyle="Comma" totalsRowCellStyle="Comma">
      <calculatedColumnFormula>SUM(Table24[[#This Row],[HIDE IDP]:[HIDE NDP]])</calculatedColumnFormula>
    </tableColumn>
    <tableColumn id="35" xr3:uid="{FBF1949D-630F-4BE1-BC14-6CC5ADC87EB8}" name="HIDE IDP" dataDxfId="52" dataCellStyle="Comma" totalsRowCellStyle="Comma">
      <calculatedColumnFormula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calculatedColumnFormula>
    </tableColumn>
    <tableColumn id="36" xr3:uid="{28303CBD-BD8F-4F81-B907-B3296E0946CB}" name="HIDE HC" dataDxfId="51" dataCellStyle="Comma" totalsRowCellStyle="Comma">
      <calculatedColumnFormula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calculatedColumnFormula>
    </tableColumn>
    <tableColumn id="37" xr3:uid="{21B43658-B0FC-496D-B4F4-502B05FD8303}" name="HIDE NDP" dataDxfId="50" dataCellStyle="Comma" totalsRowCellStyle="Comma">
      <calculatedColumnFormula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calculatedColumnFormula>
    </tableColumn>
    <tableColumn id="10" xr3:uid="{EE7546C0-5675-4434-B7C7-FF1FCEED4C73}" name="SHL_TAR_IDPs" dataDxfId="49">
      <calculatedColumnFormula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calculatedColumnFormula>
    </tableColumn>
    <tableColumn id="11" xr3:uid="{07ECD8EA-D420-405A-BB53-A1B7831FF824}" name="SHL_TAR_HC" dataDxfId="48" totalsRowDxfId="47">
      <calculatedColumnFormula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calculatedColumnFormula>
    </tableColumn>
    <tableColumn id="12" xr3:uid="{53F1F558-C757-4DCD-AE7B-0F0D9AC47AE3}" name="SHL_TAR_NDP" dataDxfId="46" totalsRowDxfId="45">
      <calculatedColumnFormula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calculatedColumnFormula>
    </tableColumn>
    <tableColumn id="13" xr3:uid="{4795DD14-E95D-4294-BA59-7B06705E038E}" name="SHL_a1_i1" dataDxfId="44" totalsRowDxfId="43">
      <calculatedColumnFormula>ROUND($P$8*(Table24[[#This Row],[SHL_TAR_IDPs]]*$AA$3+Table24[[#This Row],[SHL_TAR_HC]]*$AA$4+Table24[[#This Row],[SHL_TAR_NDP]]*$AA$5)/$AA$18,0)</calculatedColumnFormula>
    </tableColumn>
    <tableColumn id="14" xr3:uid="{AADA7CB1-E578-478F-B45E-190E36D4DB5E}" name="SHL_a2_i1" dataDxfId="42" totalsRowDxfId="41">
      <calculatedColumnFormula>ROUND($P$8*(Table24[[#This Row],[SHL_TAR_IDPs]]*$AB$3+Table24[[#This Row],[SHL_TAR_HC]]*$AB$4+Table24[[#This Row],[SHL_TAR_NDP]]*$AB$5)/$AB$18,0)</calculatedColumnFormula>
    </tableColumn>
    <tableColumn id="15" xr3:uid="{9C2DAC65-C77A-4D81-9BC2-99B1713AE9F6}" name="SHL_a3_i1" dataDxfId="40" totalsRowDxfId="39">
      <calculatedColumnFormula>ROUND($Q$8*(Table24[[#This Row],[SHL_TAR_IDPs]]*$AC$3+Table24[[#This Row],[SHL_TAR_HC]]*$AC$4+Table24[[#This Row],[SHL_TAR_NDP]]*$AC$5)/$AC$18,0)</calculatedColumnFormula>
    </tableColumn>
    <tableColumn id="16" xr3:uid="{9CC880A0-139B-45DC-83A3-9482E31699A1}" name="SHL_a4_i1" dataDxfId="38" totalsRowDxfId="37">
      <calculatedColumnFormula>ROUND($Q$8*(Table24[[#This Row],[SHL_TAR_IDPs]]*$AD$3+Table24[[#This Row],[SHL_TAR_HC]]*$AD$4+Table24[[#This Row],[SHL_TAR_NDP]]*$AD$5)/$AD$18,0)</calculatedColumnFormula>
    </tableColumn>
    <tableColumn id="17" xr3:uid="{4974318F-AA3F-4116-9AE6-A74970D0ED96}" name="SHL_a5_i1" dataDxfId="36" totalsRowDxfId="35">
      <calculatedColumnFormula>ROUND($Q$8*(Table24[[#This Row],[SHL_TAR_IDPs]]*$AE$3+Table24[[#This Row],[SHL_TAR_HC]]*$AE$4+Table24[[#This Row],[SHL_TAR_NDP]]*$AE$5)/$AE$18,0)</calculatedColumnFormula>
    </tableColumn>
    <tableColumn id="18" xr3:uid="{C39544CC-8A26-4651-829B-108119CB7C78}" name="SHL_a6_i1" dataDxfId="34" totalsRowDxfId="33">
      <calculatedColumnFormula>ROUND($Q$8*(Table24[[#This Row],[SHL_TAR_IDPs]]*$AF$3+Table24[[#This Row],[SHL_TAR_HC]]*$AF$4+Table24[[#This Row],[SHL_TAR_NDP]]*$AF$5)/$AF$18,0)</calculatedColumnFormula>
    </tableColumn>
    <tableColumn id="19" xr3:uid="{3F0D737E-F499-4812-A878-8A6C757E7649}" name="SHL_a7_i1" dataDxfId="32" totalsRowDxfId="31">
      <calculatedColumnFormula>ROUND($Q$8*(Table24[[#This Row],[SHL_TAR_IDPs]]*$AG$3+Table24[[#This Row],[SHL_TAR_HC]]*$AG$4+Table24[[#This Row],[SHL_TAR_NDP]]*$AG$5)/$AG$18,0)</calculatedColumnFormula>
    </tableColumn>
    <tableColumn id="21" xr3:uid="{A2047483-5024-4C06-B69C-26A49EA50E27}" name="SHL_a8_i1" dataDxfId="30" totalsRowDxfId="29">
      <calculatedColumnFormula>ROUND($Q$8*(Table24[[#This Row],[SHL_TAR_IDPs]]*$AH$3+Table24[[#This Row],[SHL_TAR_HC]]*$AH$4+Table24[[#This Row],[SHL_TAR_NDP]]*$AH$5)/$AH$18,0)</calculatedColumnFormula>
    </tableColumn>
    <tableColumn id="20" xr3:uid="{50D87882-EBED-4ECB-BE48-2BE48C6EEC71}" name="SHL_a9_i1" dataDxfId="28" totalsRowDxfId="27">
      <calculatedColumnFormula>IF(AND(Table24[[#This Row],[Affected by
Floods]]&gt;=5000,Table24[[#This Row],[Access]]&lt;&gt;"Hard-to-reach"),ROUND($R$8*(Table24[[#This Row],[SHL_TAR_IDPs]]*$AI$3+Table24[[#This Row],[SHL_TAR_HC]]*$AI$4+Table24[[#This Row],[SHL_TAR_NDP]]*$AI$5)/$AI$18,0),"")</calculatedColumnFormula>
    </tableColumn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B77C3A5-1D6C-4A84-A728-3620676DE268}" name="Table2" displayName="Table2" ref="A1:X191" totalsRowShown="0" headerRowDxfId="26" headerRowBorderDxfId="25" tableBorderDxfId="24" headerRowCellStyle="Comma 2">
  <autoFilter ref="A1:X191" xr:uid="{8293D942-E5DB-4B19-82F2-018B029DEEAE}"/>
  <tableColumns count="24">
    <tableColumn id="1" xr3:uid="{CC0D2131-F785-4E9B-98CC-40D187F46A3B}" name="Admin 1" dataDxfId="23"/>
    <tableColumn id="2" xr3:uid="{F381629B-6451-44C3-810C-E5F0A95B5A87}" name="Admin 1 P-Code" dataDxfId="22"/>
    <tableColumn id="3" xr3:uid="{3D6891D7-D999-415B-AF17-B375E3E01322}" name="Admin 2" dataDxfId="21"/>
    <tableColumn id="4" xr3:uid="{98636C32-D7DE-4460-9FCB-769358935807}" name="Admin 2 P-Code" dataDxfId="20"/>
    <tableColumn id="12" xr3:uid="{21B923E5-14A9-4664-8B7B-5B9270FE0809}" name="2023 Affected People" dataDxfId="19"/>
    <tableColumn id="9" xr3:uid="{C9365F31-EC9A-4646-BA7D-884BF8E4FD8F}" name="2024 PIN/Target" dataDxfId="18"/>
    <tableColumn id="19" xr3:uid="{0ED5814A-0EEE-4EF3-BB6E-DC34F7AEB31A}" name="New Displacement" dataDxfId="17"/>
    <tableColumn id="23" xr3:uid="{CEAF9EAB-4299-4396-86B6-F357499C2AC5}" name="Access 2023" dataDxfId="16"/>
    <tableColumn id="8" xr3:uid="{0032CFD8-F45F-4922-AF73-5632179124FD}" name="2021 Reach" dataDxfId="15"/>
    <tableColumn id="7" xr3:uid="{F18DC5B4-E4E8-4CBB-8237-D12EA476A805}" name="2022 Reach" dataDxfId="14"/>
    <tableColumn id="5" xr3:uid="{F67CF874-6CBB-4BCC-AE37-6874E896731E}" name="2023 Reach" dataDxfId="13"/>
    <tableColumn id="24" xr3:uid="{FDFC66E2-CBB4-4793-99F3-429E19D920EE}" name="3-Year Reach" dataDxfId="12">
      <calculatedColumnFormula>SUM(Table2[[#This Row],[2021 Reach]:[2023 Reach]])*5</calculatedColumnFormula>
    </tableColumn>
    <tableColumn id="20" xr3:uid="{1598EECB-FF51-4582-95F9-FAD478BCF6E7}" name="2023 Reach People" dataDxfId="11">
      <calculatedColumnFormula>Table2[[#This Row],[2023 Reach]]*5</calculatedColumnFormula>
    </tableColumn>
    <tableColumn id="21" xr3:uid="{12611E7A-7EAD-4CD3-B4C6-E559E29A5AC6}" name="Percentage Reach" dataDxfId="10">
      <calculatedColumnFormula>IFERROR(Table2[[#This Row],[2023 Reach People]]/Table2[[#This Row],[2023 Affected People]],0)</calculatedColumnFormula>
    </tableColumn>
    <tableColumn id="10" xr3:uid="{C0C83EDB-6345-4AE5-A3F6-38DB0EED3C74}" name="PIN Score" dataDxfId="9">
      <calculatedColumnFormula>IF(F2&gt;250000,4,IF(F2&gt;150000,3,IF(F2&gt;100000,2,IF(F2&gt;0,1,0))))</calculatedColumnFormula>
    </tableColumn>
    <tableColumn id="11" xr3:uid="{B481EF2C-56A1-44FE-9EA0-90C16F811593}" name="Response 2021 Score" dataDxfId="8">
      <calculatedColumnFormula>IF(I2=0,1,0)</calculatedColumnFormula>
    </tableColumn>
    <tableColumn id="13" xr3:uid="{13159D4C-EEF0-413E-8A91-8374A2A291D1}" name="Response 2022 Score" dataDxfId="7">
      <calculatedColumnFormula>IF(J2=0,1,0)</calculatedColumnFormula>
    </tableColumn>
    <tableColumn id="14" xr3:uid="{053B3DC3-5F02-4863-BA02-C8488796D7B5}" name="Response 2023 Score" dataDxfId="6">
      <calculatedColumnFormula>IF(AND(E2&gt;0,K2=0),1,0)</calculatedColumnFormula>
    </tableColumn>
    <tableColumn id="15" xr3:uid="{403E5616-C21D-49E8-85C6-D96A019E47CA}" name="Neglected Locality Percentage Response" dataDxfId="5">
      <calculatedColumnFormula>IF(N2&gt;50%,0,IF(N2&gt;0%,1,2))</calculatedColumnFormula>
    </tableColumn>
    <tableColumn id="16" xr3:uid="{F848F715-305A-4FBE-84DA-0ACE86166D4E}" name="Security and Access" dataDxfId="4">
      <calculatedColumnFormula>IF(Table2[[#This Row],[Access 2023]]="Hard to reach", 4, IF(Table2[[#This Row],[Access 2023]]="Partially Accessible", 3, 2))</calculatedColumnFormula>
    </tableColumn>
    <tableColumn id="18" xr3:uid="{A9B5EB31-9F68-4D3D-8188-4EF3CF89F5F9}" name="New Displacement Magnitude" dataDxfId="3"/>
    <tableColumn id="17" xr3:uid="{7BBBEC1A-8BD8-406A-B13E-98E3D6DD4126}" name="Coordination Priority - Sub-national" dataDxfId="2"/>
    <tableColumn id="22" xr3:uid="{9FA81FAD-69BF-4A63-8EA5-4C1127E9445D}" name="Total Score" dataDxfId="1">
      <calculatedColumnFormula>SUM(Table2[[#This Row],[PIN Score]],Table2[[#This Row],[Response 2023 Score]],Table2[[#This Row],[Neglected Locality Percentage Response]],Table2[[#This Row],[Security and Access]])</calculatedColumnFormula>
    </tableColumn>
    <tableColumn id="6" xr3:uid="{82C80705-FD60-4A29-8878-364AB6BD9E37}" name="Priority" dataDxfId="0">
      <calculatedColumnFormula>IF(W2&lt;=4, 1, IF(W2&lt;6, 2, IF(W2&lt;7, 3, IF(W2&lt;8, 4, 5))))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D0A04-F5AA-4FD1-AF31-80CE18C24901}">
  <dimension ref="A1:L11"/>
  <sheetViews>
    <sheetView topLeftCell="E1" zoomScale="70" zoomScaleNormal="70" workbookViewId="0">
      <selection activeCell="I10" sqref="I10"/>
    </sheetView>
  </sheetViews>
  <sheetFormatPr defaultRowHeight="14.4" x14ac:dyDescent="0.55000000000000004"/>
  <cols>
    <col min="1" max="1" width="15.83984375" bestFit="1" customWidth="1"/>
    <col min="2" max="3" width="17.62890625" hidden="1" customWidth="1"/>
    <col min="5" max="5" width="41.41796875" bestFit="1" customWidth="1"/>
    <col min="7" max="7" width="48.15625" bestFit="1" customWidth="1"/>
    <col min="8" max="8" width="13.05078125" customWidth="1"/>
    <col min="10" max="10" width="0" hidden="1" customWidth="1"/>
    <col min="12" max="12" width="11.578125" bestFit="1" customWidth="1"/>
  </cols>
  <sheetData>
    <row r="1" spans="1:12" x14ac:dyDescent="0.55000000000000004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8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</row>
    <row r="2" spans="1:12" x14ac:dyDescent="0.55000000000000004">
      <c r="A2" s="1" t="s">
        <v>12</v>
      </c>
      <c r="B2" s="1"/>
      <c r="C2" s="1"/>
      <c r="D2" s="2" t="s">
        <v>13</v>
      </c>
      <c r="E2" s="6" t="s">
        <v>14</v>
      </c>
      <c r="F2" s="5" t="s">
        <v>15</v>
      </c>
      <c r="G2" s="6" t="s">
        <v>16</v>
      </c>
      <c r="H2" s="4" t="s">
        <v>17</v>
      </c>
      <c r="I2" s="64">
        <f>Targets!AA16</f>
        <v>200</v>
      </c>
      <c r="J2" s="64"/>
      <c r="K2" s="64"/>
      <c r="L2" s="64">
        <f>Table136[[#This Row],[Unit Cost]]*Table136[[#This Row],[Target]]</f>
        <v>0</v>
      </c>
    </row>
    <row r="3" spans="1:12" x14ac:dyDescent="0.55000000000000004">
      <c r="A3" s="4" t="s">
        <v>12</v>
      </c>
      <c r="B3" s="4"/>
      <c r="C3" s="4"/>
      <c r="D3" s="5" t="s">
        <v>18</v>
      </c>
      <c r="E3" s="6" t="s">
        <v>459</v>
      </c>
      <c r="F3" s="5" t="s">
        <v>19</v>
      </c>
      <c r="G3" s="6" t="s">
        <v>466</v>
      </c>
      <c r="H3" s="4" t="s">
        <v>20</v>
      </c>
      <c r="I3" s="64">
        <f>Targets!AB16</f>
        <v>200</v>
      </c>
      <c r="J3" s="64"/>
      <c r="K3" s="64"/>
      <c r="L3" s="64">
        <f>Table136[[#This Row],[Unit Cost]]*Table136[[#This Row],[Target]]</f>
        <v>0</v>
      </c>
    </row>
    <row r="4" spans="1:12" x14ac:dyDescent="0.55000000000000004">
      <c r="A4" s="1" t="s">
        <v>12</v>
      </c>
      <c r="B4" s="1"/>
      <c r="C4" s="1"/>
      <c r="D4" s="2" t="s">
        <v>21</v>
      </c>
      <c r="E4" s="6" t="s">
        <v>458</v>
      </c>
      <c r="F4" s="2" t="s">
        <v>23</v>
      </c>
      <c r="G4" s="6" t="s">
        <v>465</v>
      </c>
      <c r="H4" s="4" t="s">
        <v>20</v>
      </c>
      <c r="I4" s="64">
        <f>Targets!AC16</f>
        <v>650</v>
      </c>
      <c r="J4" s="64"/>
      <c r="K4" s="64"/>
      <c r="L4" s="64">
        <f>Table136[[#This Row],[Unit Cost]]*Table136[[#This Row],[Target]]</f>
        <v>0</v>
      </c>
    </row>
    <row r="5" spans="1:12" x14ac:dyDescent="0.55000000000000004">
      <c r="A5" s="4" t="s">
        <v>12</v>
      </c>
      <c r="B5" s="4"/>
      <c r="C5" s="4"/>
      <c r="D5" s="5" t="s">
        <v>25</v>
      </c>
      <c r="E5" s="6" t="s">
        <v>474</v>
      </c>
      <c r="F5" s="5" t="s">
        <v>26</v>
      </c>
      <c r="G5" s="6" t="s">
        <v>475</v>
      </c>
      <c r="H5" s="4" t="s">
        <v>20</v>
      </c>
      <c r="I5" s="64">
        <f>Targets!AD16</f>
        <v>500</v>
      </c>
      <c r="J5" s="64"/>
      <c r="K5" s="64"/>
      <c r="L5" s="64">
        <f>Table136[[#This Row],[Unit Cost]]*Table136[[#This Row],[Target]]</f>
        <v>0</v>
      </c>
    </row>
    <row r="6" spans="1:12" x14ac:dyDescent="0.55000000000000004">
      <c r="A6" s="1" t="s">
        <v>12</v>
      </c>
      <c r="B6" s="1"/>
      <c r="C6" s="1"/>
      <c r="D6" s="2" t="s">
        <v>27</v>
      </c>
      <c r="E6" s="3" t="s">
        <v>22</v>
      </c>
      <c r="F6" s="2" t="s">
        <v>28</v>
      </c>
      <c r="G6" s="6" t="s">
        <v>24</v>
      </c>
      <c r="H6" s="4" t="s">
        <v>20</v>
      </c>
      <c r="I6" s="64">
        <f>Targets!AE16</f>
        <v>550</v>
      </c>
      <c r="J6" s="64"/>
      <c r="K6" s="64"/>
      <c r="L6" s="64">
        <f>Table136[[#This Row],[Unit Cost]]*Table136[[#This Row],[Target]]</f>
        <v>0</v>
      </c>
    </row>
    <row r="7" spans="1:12" x14ac:dyDescent="0.55000000000000004">
      <c r="A7" s="4" t="s">
        <v>12</v>
      </c>
      <c r="B7" s="4"/>
      <c r="C7" s="4"/>
      <c r="D7" s="5" t="s">
        <v>29</v>
      </c>
      <c r="E7" s="6" t="s">
        <v>462</v>
      </c>
      <c r="F7" s="5" t="s">
        <v>30</v>
      </c>
      <c r="G7" s="6" t="s">
        <v>469</v>
      </c>
      <c r="H7" s="4" t="s">
        <v>20</v>
      </c>
      <c r="I7" s="64">
        <f>Targets!AF16</f>
        <v>650</v>
      </c>
      <c r="J7" s="64"/>
      <c r="K7" s="64"/>
      <c r="L7" s="64">
        <f>Table136[[#This Row],[Unit Cost]]*Table136[[#This Row],[Target]]</f>
        <v>0</v>
      </c>
    </row>
    <row r="8" spans="1:12" x14ac:dyDescent="0.55000000000000004">
      <c r="A8" s="1" t="s">
        <v>12</v>
      </c>
      <c r="B8" s="1"/>
      <c r="C8" s="1"/>
      <c r="D8" s="2" t="s">
        <v>31</v>
      </c>
      <c r="E8" s="3" t="s">
        <v>460</v>
      </c>
      <c r="F8" s="2" t="s">
        <v>32</v>
      </c>
      <c r="G8" s="6" t="s">
        <v>467</v>
      </c>
      <c r="H8" s="4" t="s">
        <v>20</v>
      </c>
      <c r="I8" s="64">
        <f>Targets!AG16</f>
        <v>650</v>
      </c>
      <c r="J8" s="64"/>
      <c r="K8" s="64"/>
      <c r="L8" s="64">
        <f>Table136[[#This Row],[Unit Cost]]*Table136[[#This Row],[Target]]</f>
        <v>0</v>
      </c>
    </row>
    <row r="9" spans="1:12" x14ac:dyDescent="0.55000000000000004">
      <c r="A9" s="4" t="s">
        <v>12</v>
      </c>
      <c r="B9" s="4"/>
      <c r="C9" s="4"/>
      <c r="D9" s="5" t="s">
        <v>33</v>
      </c>
      <c r="E9" s="6" t="s">
        <v>461</v>
      </c>
      <c r="F9" s="5" t="s">
        <v>34</v>
      </c>
      <c r="G9" s="6" t="s">
        <v>468</v>
      </c>
      <c r="H9" s="4" t="s">
        <v>20</v>
      </c>
      <c r="I9" s="64">
        <f>Targets!AH16</f>
        <v>800</v>
      </c>
      <c r="J9" s="64"/>
      <c r="K9" s="64"/>
      <c r="L9" s="64">
        <f>Table136[[#This Row],[Unit Cost]]*Table136[[#This Row],[Target]]</f>
        <v>0</v>
      </c>
    </row>
    <row r="10" spans="1:12" x14ac:dyDescent="0.55000000000000004">
      <c r="A10" s="4" t="s">
        <v>12</v>
      </c>
      <c r="B10" s="1"/>
      <c r="C10" s="1"/>
      <c r="D10" s="5" t="s">
        <v>472</v>
      </c>
      <c r="E10" s="6" t="s">
        <v>471</v>
      </c>
      <c r="F10" s="5" t="s">
        <v>473</v>
      </c>
      <c r="G10" s="3" t="s">
        <v>470</v>
      </c>
      <c r="H10" s="4" t="s">
        <v>20</v>
      </c>
      <c r="I10" s="64">
        <f>Targets!AI16</f>
        <v>650</v>
      </c>
      <c r="J10" s="64"/>
      <c r="K10" s="64"/>
      <c r="L10" s="64">
        <f>Table136[[#This Row],[Unit Cost]]*Table136[[#This Row],[Target]]</f>
        <v>0</v>
      </c>
    </row>
    <row r="11" spans="1:12" x14ac:dyDescent="0.55000000000000004">
      <c r="A11" s="65"/>
      <c r="B11" s="65"/>
      <c r="C11" s="65"/>
      <c r="D11" s="66"/>
      <c r="E11" s="67"/>
      <c r="F11" s="66"/>
      <c r="G11" s="67"/>
      <c r="H11" s="65"/>
      <c r="I11" s="68"/>
      <c r="J11" s="68"/>
      <c r="K11" s="68"/>
      <c r="L11" s="68">
        <f>SUBTOTAL(109,Table136[Cost])</f>
        <v>0</v>
      </c>
    </row>
  </sheetData>
  <phoneticPr fontId="18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E6ED4-1802-4794-8217-004316422FC6}">
  <dimension ref="A1:H5"/>
  <sheetViews>
    <sheetView topLeftCell="C1" zoomScale="70" zoomScaleNormal="70" workbookViewId="0">
      <selection activeCell="F2" sqref="F2:H3"/>
    </sheetView>
  </sheetViews>
  <sheetFormatPr defaultRowHeight="14.4" x14ac:dyDescent="0.55000000000000004"/>
  <cols>
    <col min="1" max="1" width="11" customWidth="1"/>
    <col min="3" max="3" width="106.26171875" customWidth="1"/>
    <col min="5" max="5" width="55.5234375" customWidth="1"/>
  </cols>
  <sheetData>
    <row r="1" spans="1:8" ht="49.2" x14ac:dyDescent="0.55000000000000004">
      <c r="A1" s="9" t="s">
        <v>0</v>
      </c>
      <c r="B1" s="10" t="s">
        <v>35</v>
      </c>
      <c r="C1" s="11" t="s">
        <v>36</v>
      </c>
      <c r="D1" s="11" t="s">
        <v>37</v>
      </c>
      <c r="E1" s="11" t="s">
        <v>38</v>
      </c>
      <c r="F1" s="11" t="s">
        <v>9</v>
      </c>
      <c r="G1" s="10" t="s">
        <v>10</v>
      </c>
      <c r="H1" s="12" t="s">
        <v>39</v>
      </c>
    </row>
    <row r="2" spans="1:8" ht="42.4" customHeight="1" x14ac:dyDescent="0.55000000000000004">
      <c r="A2" s="13" t="s">
        <v>12</v>
      </c>
      <c r="B2" s="14" t="s">
        <v>42</v>
      </c>
      <c r="C2" s="15" t="s">
        <v>44</v>
      </c>
      <c r="D2" s="16" t="s">
        <v>40</v>
      </c>
      <c r="E2" s="15" t="s">
        <v>45</v>
      </c>
      <c r="F2" s="56"/>
      <c r="G2" s="17"/>
      <c r="H2" s="18"/>
    </row>
    <row r="3" spans="1:8" ht="42.4" customHeight="1" x14ac:dyDescent="0.55000000000000004">
      <c r="A3" s="19" t="s">
        <v>12</v>
      </c>
      <c r="B3" s="14" t="s">
        <v>43</v>
      </c>
      <c r="C3" s="20" t="s">
        <v>46</v>
      </c>
      <c r="D3" s="16" t="s">
        <v>41</v>
      </c>
      <c r="E3" s="20" t="s">
        <v>47</v>
      </c>
      <c r="F3" s="57"/>
      <c r="G3" s="21"/>
      <c r="H3" s="55"/>
    </row>
    <row r="4" spans="1:8" x14ac:dyDescent="0.55000000000000004">
      <c r="F4" s="22"/>
    </row>
    <row r="5" spans="1:8" x14ac:dyDescent="0.55000000000000004">
      <c r="F5" s="2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75B35-0C52-4F96-A706-01F0EABA386B}">
  <dimension ref="A1:AO218"/>
  <sheetViews>
    <sheetView tabSelected="1" zoomScale="40" zoomScaleNormal="40" workbookViewId="0"/>
  </sheetViews>
  <sheetFormatPr defaultRowHeight="14.4" x14ac:dyDescent="0.55000000000000004"/>
  <cols>
    <col min="1" max="1" width="18.15625" bestFit="1" customWidth="1"/>
    <col min="2" max="2" width="12.1015625" customWidth="1"/>
    <col min="3" max="3" width="26.3671875" bestFit="1" customWidth="1"/>
    <col min="4" max="4" width="10.62890625" customWidth="1"/>
    <col min="5" max="6" width="12.1015625" customWidth="1"/>
    <col min="7" max="7" width="18" bestFit="1" customWidth="1"/>
    <col min="8" max="9" width="13.15625" customWidth="1"/>
    <col min="10" max="14" width="10.62890625" customWidth="1"/>
    <col min="15" max="15" width="12.7890625" customWidth="1"/>
    <col min="16" max="16" width="12.3671875" customWidth="1"/>
    <col min="17" max="17" width="11.3125" customWidth="1"/>
    <col min="18" max="18" width="13.734375" customWidth="1"/>
    <col min="19" max="19" width="13.41796875" bestFit="1" customWidth="1"/>
    <col min="20" max="23" width="13.41796875" hidden="1" customWidth="1"/>
    <col min="24" max="24" width="14" bestFit="1" customWidth="1"/>
    <col min="25" max="25" width="12.89453125" bestFit="1" customWidth="1"/>
    <col min="26" max="26" width="15.05078125" bestFit="1" customWidth="1"/>
    <col min="29" max="29" width="8.89453125" customWidth="1"/>
    <col min="38" max="38" width="10.734375" customWidth="1"/>
  </cols>
  <sheetData>
    <row r="1" spans="1:36" x14ac:dyDescent="0.55000000000000004">
      <c r="A1" s="24" t="s">
        <v>544</v>
      </c>
      <c r="B1" s="25"/>
      <c r="C1" s="26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4" t="s">
        <v>557</v>
      </c>
      <c r="Q1" s="24"/>
      <c r="R1" s="24"/>
      <c r="S1" s="27"/>
      <c r="T1" s="27"/>
      <c r="U1" s="27"/>
      <c r="V1" s="27"/>
      <c r="W1" s="27"/>
      <c r="X1" s="27"/>
      <c r="Y1" s="27"/>
      <c r="Z1" s="24" t="s">
        <v>558</v>
      </c>
      <c r="AA1" s="24"/>
      <c r="AB1" s="24"/>
      <c r="AC1" s="24"/>
      <c r="AD1" s="24"/>
      <c r="AE1" s="24"/>
      <c r="AF1" s="24"/>
      <c r="AG1" s="24"/>
      <c r="AH1" s="24"/>
      <c r="AI1" s="24"/>
    </row>
    <row r="2" spans="1:36" x14ac:dyDescent="0.55000000000000004">
      <c r="A2" s="24"/>
      <c r="B2" s="25"/>
      <c r="C2" s="26"/>
      <c r="D2" s="27"/>
      <c r="P2" s="86" t="s">
        <v>545</v>
      </c>
      <c r="Q2" s="86" t="s">
        <v>546</v>
      </c>
      <c r="R2" s="86" t="s">
        <v>547</v>
      </c>
      <c r="S2" s="27"/>
      <c r="T2" s="27"/>
      <c r="U2" s="27"/>
      <c r="V2" s="27"/>
      <c r="W2" s="27"/>
      <c r="X2" s="27"/>
      <c r="Y2" s="27"/>
      <c r="Z2" s="26"/>
      <c r="AA2" s="26" t="s">
        <v>548</v>
      </c>
      <c r="AB2" s="26" t="s">
        <v>549</v>
      </c>
      <c r="AC2" s="26" t="s">
        <v>550</v>
      </c>
      <c r="AD2" s="26" t="s">
        <v>551</v>
      </c>
      <c r="AE2" s="26" t="s">
        <v>552</v>
      </c>
      <c r="AF2" s="26" t="s">
        <v>553</v>
      </c>
      <c r="AG2" s="26" t="s">
        <v>554</v>
      </c>
      <c r="AH2" s="26" t="s">
        <v>555</v>
      </c>
      <c r="AI2" s="26" t="s">
        <v>556</v>
      </c>
    </row>
    <row r="3" spans="1:36" x14ac:dyDescent="0.55000000000000004">
      <c r="A3" s="86" t="s">
        <v>524</v>
      </c>
      <c r="B3" s="29">
        <v>1</v>
      </c>
      <c r="C3" s="26" t="s">
        <v>48</v>
      </c>
      <c r="D3" s="27"/>
      <c r="P3" s="29">
        <v>1</v>
      </c>
      <c r="Q3" s="29">
        <v>0.8</v>
      </c>
      <c r="R3" s="29">
        <v>0.5</v>
      </c>
      <c r="S3" s="27"/>
      <c r="T3" s="27"/>
      <c r="U3" s="27"/>
      <c r="V3" s="27"/>
      <c r="W3" s="27"/>
      <c r="X3" s="27"/>
      <c r="Y3" s="27"/>
      <c r="Z3" s="26" t="s">
        <v>545</v>
      </c>
      <c r="AA3" s="29">
        <v>0.5</v>
      </c>
      <c r="AB3" s="29">
        <v>0.5</v>
      </c>
      <c r="AC3" s="29">
        <v>0.1</v>
      </c>
      <c r="AD3" s="29">
        <v>0.1</v>
      </c>
      <c r="AE3" s="29">
        <v>0.1</v>
      </c>
      <c r="AF3" s="29">
        <v>0.2</v>
      </c>
      <c r="AG3" s="29">
        <v>0.3</v>
      </c>
      <c r="AH3" s="29">
        <v>0.2</v>
      </c>
      <c r="AI3" s="29">
        <v>0.5</v>
      </c>
    </row>
    <row r="4" spans="1:36" x14ac:dyDescent="0.55000000000000004">
      <c r="A4" s="86" t="s">
        <v>525</v>
      </c>
      <c r="B4" s="32">
        <v>0.8</v>
      </c>
      <c r="C4" s="26" t="s">
        <v>48</v>
      </c>
      <c r="D4" s="27"/>
      <c r="Q4" s="27"/>
      <c r="R4" s="27"/>
      <c r="S4" s="27"/>
      <c r="T4" s="27"/>
      <c r="U4" s="27"/>
      <c r="V4" s="27"/>
      <c r="W4" s="27"/>
      <c r="X4" s="27"/>
      <c r="Y4" s="27"/>
      <c r="Z4" s="26" t="s">
        <v>546</v>
      </c>
      <c r="AA4" s="29">
        <v>0.5</v>
      </c>
      <c r="AB4" s="29">
        <v>0.5</v>
      </c>
      <c r="AC4" s="29">
        <v>0</v>
      </c>
      <c r="AD4" s="29">
        <v>0</v>
      </c>
      <c r="AE4" s="29">
        <v>0.1</v>
      </c>
      <c r="AF4" s="29">
        <v>0.2</v>
      </c>
      <c r="AG4" s="29">
        <v>0.6</v>
      </c>
      <c r="AH4" s="29">
        <v>0.1</v>
      </c>
      <c r="AI4" s="29">
        <v>0.25</v>
      </c>
    </row>
    <row r="5" spans="1:36" x14ac:dyDescent="0.55000000000000004">
      <c r="A5" s="86" t="s">
        <v>526</v>
      </c>
      <c r="B5" s="32">
        <v>0.6</v>
      </c>
      <c r="C5" s="26" t="s">
        <v>48</v>
      </c>
      <c r="D5" s="27"/>
      <c r="Q5" s="27"/>
      <c r="R5" s="27"/>
      <c r="S5" s="27"/>
      <c r="T5" s="27"/>
      <c r="U5" s="27"/>
      <c r="V5" s="27"/>
      <c r="W5" s="27"/>
      <c r="X5" s="27"/>
      <c r="Y5" s="27"/>
      <c r="Z5" s="26" t="s">
        <v>547</v>
      </c>
      <c r="AA5" s="29">
        <v>0.5</v>
      </c>
      <c r="AB5" s="29">
        <v>0.5</v>
      </c>
      <c r="AC5" s="29">
        <v>0</v>
      </c>
      <c r="AD5" s="29">
        <v>0</v>
      </c>
      <c r="AE5" s="29">
        <v>0.1</v>
      </c>
      <c r="AF5" s="29">
        <v>0.2</v>
      </c>
      <c r="AG5" s="29">
        <v>0.7</v>
      </c>
      <c r="AH5" s="29">
        <v>0</v>
      </c>
      <c r="AI5" s="29">
        <v>0.25</v>
      </c>
    </row>
    <row r="6" spans="1:36" x14ac:dyDescent="0.55000000000000004">
      <c r="A6" s="86" t="s">
        <v>534</v>
      </c>
      <c r="B6" s="29">
        <v>0.4</v>
      </c>
      <c r="C6" s="26" t="s">
        <v>48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4" t="s">
        <v>559</v>
      </c>
      <c r="Q6" s="24"/>
      <c r="R6" s="24"/>
      <c r="X6" s="27"/>
      <c r="Y6" s="27"/>
      <c r="Z6" s="27"/>
      <c r="AA6" s="27"/>
      <c r="AB6" s="28"/>
      <c r="AC6" s="28"/>
      <c r="AD6" s="28"/>
      <c r="AE6" s="27"/>
      <c r="AF6" s="27"/>
      <c r="AG6" s="27"/>
      <c r="AH6" s="27"/>
      <c r="AI6" s="27"/>
    </row>
    <row r="7" spans="1:36" x14ac:dyDescent="0.55000000000000004">
      <c r="A7" s="86" t="s">
        <v>535</v>
      </c>
      <c r="B7" s="32">
        <v>0.2</v>
      </c>
      <c r="C7" s="26" t="s">
        <v>48</v>
      </c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86" t="s">
        <v>561</v>
      </c>
      <c r="Q7" s="86" t="s">
        <v>560</v>
      </c>
      <c r="R7" s="86" t="s">
        <v>562</v>
      </c>
      <c r="X7" s="27"/>
      <c r="Y7" s="27"/>
      <c r="Z7" s="27"/>
      <c r="AA7" s="27"/>
      <c r="AB7" s="28"/>
      <c r="AC7" s="28"/>
      <c r="AD7" s="28"/>
      <c r="AE7" s="27"/>
      <c r="AF7" s="27"/>
      <c r="AG7" s="27"/>
      <c r="AH7" s="27"/>
      <c r="AI7" s="27"/>
    </row>
    <row r="8" spans="1:36" x14ac:dyDescent="0.55000000000000004">
      <c r="A8" s="86" t="s">
        <v>527</v>
      </c>
      <c r="B8" s="32">
        <v>0.8</v>
      </c>
      <c r="C8" s="26" t="s">
        <v>48</v>
      </c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9">
        <v>0.85</v>
      </c>
      <c r="Q8" s="29">
        <v>0.5</v>
      </c>
      <c r="R8" s="29">
        <v>0.1</v>
      </c>
      <c r="X8" s="27"/>
      <c r="Y8" s="27"/>
      <c r="Z8" s="27"/>
      <c r="AA8" s="27"/>
      <c r="AB8" s="28"/>
      <c r="AC8" s="28"/>
      <c r="AD8" s="28"/>
      <c r="AE8" s="27"/>
      <c r="AF8" s="27"/>
      <c r="AG8" s="27"/>
      <c r="AH8" s="27"/>
      <c r="AI8" s="27"/>
    </row>
    <row r="9" spans="1:36" x14ac:dyDescent="0.55000000000000004">
      <c r="A9" s="86" t="s">
        <v>528</v>
      </c>
      <c r="B9" s="29">
        <v>0.6</v>
      </c>
      <c r="C9" s="26" t="s">
        <v>48</v>
      </c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8"/>
      <c r="AC9" s="28"/>
      <c r="AD9" s="28"/>
      <c r="AE9" s="27"/>
      <c r="AF9" s="27"/>
      <c r="AG9" s="27"/>
      <c r="AH9" s="27"/>
      <c r="AI9" s="27"/>
    </row>
    <row r="10" spans="1:36" x14ac:dyDescent="0.55000000000000004">
      <c r="A10" s="86" t="s">
        <v>529</v>
      </c>
      <c r="B10" s="32">
        <v>0.4</v>
      </c>
      <c r="C10" s="26" t="s">
        <v>48</v>
      </c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8"/>
      <c r="AC10" s="28"/>
      <c r="AD10" s="28"/>
      <c r="AE10" s="27"/>
      <c r="AF10" s="27"/>
      <c r="AG10" s="27"/>
      <c r="AH10" s="27"/>
      <c r="AI10" s="27"/>
    </row>
    <row r="11" spans="1:36" x14ac:dyDescent="0.55000000000000004">
      <c r="A11" s="86" t="s">
        <v>530</v>
      </c>
      <c r="B11" s="32">
        <v>0.2</v>
      </c>
      <c r="C11" s="26" t="s">
        <v>48</v>
      </c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8"/>
      <c r="AC11" s="28"/>
      <c r="AD11" s="28"/>
      <c r="AE11" s="27"/>
      <c r="AF11" s="27"/>
      <c r="AG11" s="27"/>
      <c r="AH11" s="27"/>
      <c r="AI11" s="27"/>
    </row>
    <row r="12" spans="1:36" x14ac:dyDescent="0.55000000000000004">
      <c r="A12" s="86" t="s">
        <v>536</v>
      </c>
      <c r="B12" s="29">
        <v>0.1</v>
      </c>
      <c r="C12" s="26" t="s">
        <v>48</v>
      </c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8"/>
      <c r="AC12" s="28"/>
      <c r="AD12" s="28"/>
      <c r="AE12" s="27"/>
      <c r="AF12" s="27"/>
      <c r="AG12" s="27"/>
      <c r="AH12" s="27"/>
      <c r="AI12" s="27"/>
    </row>
    <row r="13" spans="1:36" x14ac:dyDescent="0.55000000000000004">
      <c r="A13" s="86" t="s">
        <v>531</v>
      </c>
      <c r="B13" s="32">
        <v>0.6</v>
      </c>
      <c r="C13" s="26" t="s">
        <v>48</v>
      </c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8"/>
      <c r="AC13" s="28"/>
      <c r="AD13" s="28"/>
      <c r="AE13" s="27"/>
      <c r="AF13" s="27"/>
      <c r="AG13" s="27"/>
      <c r="AH13" s="27"/>
      <c r="AI13" s="27"/>
    </row>
    <row r="14" spans="1:36" x14ac:dyDescent="0.55000000000000004">
      <c r="A14" s="86" t="s">
        <v>532</v>
      </c>
      <c r="B14" s="32">
        <v>0.4</v>
      </c>
      <c r="C14" s="26" t="s">
        <v>48</v>
      </c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103">
        <f>AA17/Q17</f>
        <v>0.16824051937374507</v>
      </c>
      <c r="AB14" s="103">
        <f>AB17/Q17</f>
        <v>0.16824051937374507</v>
      </c>
      <c r="AC14" s="103">
        <f>AC17/Q17</f>
        <v>4.0309740985720793E-2</v>
      </c>
      <c r="AD14" s="103">
        <f>AD17/Q17</f>
        <v>3.1007493065939074E-2</v>
      </c>
      <c r="AE14" s="103">
        <f>AE17/Q17</f>
        <v>5.443090843841232E-2</v>
      </c>
      <c r="AF14" s="103">
        <f>AF17/Q17</f>
        <v>0.12864264552121044</v>
      </c>
      <c r="AG14" s="103">
        <f>AG17/Q17</f>
        <v>0.27682106995017636</v>
      </c>
      <c r="AH14" s="103">
        <f>AH17/Q17</f>
        <v>0.11419599933963565</v>
      </c>
      <c r="AI14" s="103">
        <f>AI17/Q17</f>
        <v>1.8111103951415245E-2</v>
      </c>
    </row>
    <row r="15" spans="1:36" x14ac:dyDescent="0.55000000000000004">
      <c r="A15" s="86" t="s">
        <v>533</v>
      </c>
      <c r="B15" s="29">
        <v>0.2</v>
      </c>
      <c r="C15" s="26" t="s">
        <v>48</v>
      </c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92" t="s">
        <v>565</v>
      </c>
      <c r="R15" s="27" t="s">
        <v>566</v>
      </c>
      <c r="S15" s="27"/>
      <c r="T15" s="27"/>
      <c r="U15" s="27"/>
      <c r="V15" s="27"/>
      <c r="W15" s="27"/>
      <c r="X15" s="27"/>
      <c r="Y15" s="27"/>
      <c r="Z15" s="30" t="s">
        <v>49</v>
      </c>
      <c r="AA15" s="31">
        <f>SUM(Table24[SHL_a1_i1])</f>
        <v>178848</v>
      </c>
      <c r="AB15" s="31">
        <f>SUM(Table24[SHL_a2_i1])</f>
        <v>178848</v>
      </c>
      <c r="AC15" s="31">
        <f>SUM(Table24[SHL_a3_i1])</f>
        <v>13185</v>
      </c>
      <c r="AD15" s="31">
        <f>SUM(Table24[SHL_a4_i1])</f>
        <v>13185</v>
      </c>
      <c r="AE15" s="31">
        <f>SUM(Table24[SHL_a5_i1])</f>
        <v>21041</v>
      </c>
      <c r="AF15" s="31">
        <f>SUM(Table24[SHL_a6_i1])</f>
        <v>42078</v>
      </c>
      <c r="AG15" s="31">
        <f>SUM(Table24[SHL_a7_i1])</f>
        <v>90546</v>
      </c>
      <c r="AH15" s="31">
        <f>SUM(Table24[SHL_a8_i1])</f>
        <v>30349</v>
      </c>
      <c r="AI15" s="31">
        <f>SUM(Table24[SHL_a9_i1])</f>
        <v>5924</v>
      </c>
      <c r="AJ15" s="59"/>
    </row>
    <row r="16" spans="1:36" x14ac:dyDescent="0.55000000000000004">
      <c r="A16" s="86" t="s">
        <v>537</v>
      </c>
      <c r="B16" s="32">
        <v>0.1</v>
      </c>
      <c r="C16" s="26" t="s">
        <v>48</v>
      </c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33" t="s">
        <v>50</v>
      </c>
      <c r="Q16" s="33"/>
      <c r="R16" s="33"/>
      <c r="Y16" s="27"/>
      <c r="Z16" s="30" t="s">
        <v>51</v>
      </c>
      <c r="AA16" s="31">
        <v>200</v>
      </c>
      <c r="AB16" s="31">
        <v>200</v>
      </c>
      <c r="AC16" s="31">
        <v>650</v>
      </c>
      <c r="AD16" s="31">
        <v>500</v>
      </c>
      <c r="AE16" s="31">
        <v>550</v>
      </c>
      <c r="AF16" s="31">
        <v>650</v>
      </c>
      <c r="AG16" s="31">
        <v>650</v>
      </c>
      <c r="AH16" s="31">
        <v>800</v>
      </c>
      <c r="AI16" s="31">
        <v>650</v>
      </c>
    </row>
    <row r="17" spans="1:41" x14ac:dyDescent="0.55000000000000004">
      <c r="A17" s="86" t="s">
        <v>538</v>
      </c>
      <c r="B17" s="32">
        <v>0.05</v>
      </c>
      <c r="C17" s="26" t="s">
        <v>48</v>
      </c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34"/>
      <c r="Q17" s="104">
        <f>SUM($AA$17:$AI$17)</f>
        <v>212609900</v>
      </c>
      <c r="R17" s="104"/>
      <c r="X17" s="59"/>
      <c r="Y17" s="27"/>
      <c r="Z17" s="30" t="s">
        <v>52</v>
      </c>
      <c r="AA17" s="31">
        <f>AA15*AA16</f>
        <v>35769600</v>
      </c>
      <c r="AB17" s="31">
        <f t="shared" ref="AB17:AI17" si="0">AB15*AB16</f>
        <v>35769600</v>
      </c>
      <c r="AC17" s="31">
        <f t="shared" si="0"/>
        <v>8570250</v>
      </c>
      <c r="AD17" s="31">
        <f t="shared" si="0"/>
        <v>6592500</v>
      </c>
      <c r="AE17" s="31">
        <f t="shared" si="0"/>
        <v>11572550</v>
      </c>
      <c r="AF17" s="31">
        <f t="shared" si="0"/>
        <v>27350700</v>
      </c>
      <c r="AG17" s="31">
        <f t="shared" si="0"/>
        <v>58854900</v>
      </c>
      <c r="AH17" s="31">
        <f t="shared" si="0"/>
        <v>24279200</v>
      </c>
      <c r="AI17" s="31">
        <f t="shared" si="0"/>
        <v>3850600</v>
      </c>
    </row>
    <row r="18" spans="1:41" x14ac:dyDescent="0.55000000000000004">
      <c r="A18" s="26"/>
      <c r="B18" s="26"/>
      <c r="C18" s="26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X18" s="59"/>
      <c r="Y18" s="27"/>
      <c r="Z18" s="35" t="s">
        <v>53</v>
      </c>
      <c r="AA18" s="36">
        <v>5</v>
      </c>
      <c r="AB18" s="36">
        <v>5</v>
      </c>
      <c r="AC18" s="36">
        <v>5</v>
      </c>
      <c r="AD18" s="36">
        <v>5</v>
      </c>
      <c r="AE18" s="36">
        <v>5</v>
      </c>
      <c r="AF18" s="36">
        <v>5</v>
      </c>
      <c r="AG18" s="36">
        <v>5</v>
      </c>
      <c r="AH18" s="36">
        <v>5</v>
      </c>
      <c r="AI18" s="36">
        <v>5</v>
      </c>
    </row>
    <row r="19" spans="1:41" x14ac:dyDescent="0.55000000000000004">
      <c r="A19" s="37" t="s">
        <v>54</v>
      </c>
      <c r="B19" s="37"/>
      <c r="C19" s="38">
        <f>S27/O27</f>
        <v>0.24596967884972051</v>
      </c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 t="s">
        <v>563</v>
      </c>
      <c r="R19" s="27">
        <f>$Q$17/$S$27</f>
        <v>101.04802742142765</v>
      </c>
      <c r="S19" t="s">
        <v>564</v>
      </c>
      <c r="Y19" s="27"/>
      <c r="Z19" s="39"/>
      <c r="AA19" s="27"/>
      <c r="AB19" s="27"/>
      <c r="AC19" s="27"/>
      <c r="AD19" s="27"/>
      <c r="AE19" s="27"/>
      <c r="AF19" s="27"/>
      <c r="AG19" s="27"/>
      <c r="AH19" s="27"/>
      <c r="AI19" s="40"/>
    </row>
    <row r="20" spans="1:41" x14ac:dyDescent="0.55000000000000004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40"/>
    </row>
    <row r="21" spans="1:41" x14ac:dyDescent="0.55000000000000004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93"/>
      <c r="AA21" s="39"/>
      <c r="AB21" s="39"/>
      <c r="AC21" s="39"/>
      <c r="AD21" s="39"/>
      <c r="AE21" s="39"/>
      <c r="AF21" s="39"/>
      <c r="AG21" s="39"/>
      <c r="AH21" s="39"/>
      <c r="AI21" s="39"/>
    </row>
    <row r="22" spans="1:41" x14ac:dyDescent="0.55000000000000004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93"/>
      <c r="AA22" s="39"/>
      <c r="AB22" s="39"/>
      <c r="AC22" s="39"/>
      <c r="AD22" s="39"/>
      <c r="AE22" s="39"/>
      <c r="AF22" s="39"/>
      <c r="AG22" s="39"/>
      <c r="AH22" s="39"/>
      <c r="AI22" s="39"/>
    </row>
    <row r="23" spans="1:41" x14ac:dyDescent="0.55000000000000004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93"/>
      <c r="AA23" s="39"/>
      <c r="AB23" s="39"/>
      <c r="AC23" s="39"/>
      <c r="AD23" s="39"/>
      <c r="AE23" s="39"/>
      <c r="AF23" s="39"/>
      <c r="AG23" s="39"/>
      <c r="AH23" s="39"/>
      <c r="AI23" s="39"/>
    </row>
    <row r="24" spans="1:41" x14ac:dyDescent="0.55000000000000004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93"/>
      <c r="AA24" s="39"/>
      <c r="AB24" s="39"/>
      <c r="AC24" s="39"/>
      <c r="AD24" s="39"/>
      <c r="AE24" s="39"/>
      <c r="AF24" s="39"/>
      <c r="AG24" s="39"/>
      <c r="AH24" s="39"/>
      <c r="AI24" s="39"/>
    </row>
    <row r="25" spans="1:41" ht="77.650000000000006" customHeight="1" x14ac:dyDescent="0.55000000000000004">
      <c r="A25" s="41"/>
      <c r="B25" s="41"/>
      <c r="C25" s="41"/>
      <c r="D25" s="4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89"/>
      <c r="P25" s="41"/>
      <c r="Q25" s="41"/>
      <c r="R25" s="47"/>
      <c r="S25" s="90"/>
      <c r="T25" s="90"/>
      <c r="U25" s="90"/>
      <c r="V25" s="90"/>
      <c r="W25" s="90"/>
      <c r="X25" s="41"/>
      <c r="Y25" s="41"/>
      <c r="Z25" s="41"/>
      <c r="AA25" s="60" t="str">
        <f>Activities!E2</f>
        <v>NFI kit distribution</v>
      </c>
      <c r="AB25" s="60" t="str">
        <f>Activities!E3</f>
        <v>Provision of cash/vouchers for NFIs</v>
      </c>
      <c r="AC25" s="60" t="str">
        <f>Activities!E4</f>
        <v>Establishment of communal shelters</v>
      </c>
      <c r="AD25" s="60" t="str">
        <f>Activities!E5</f>
        <v>Rehabilitation of collective centers</v>
      </c>
      <c r="AE25" s="60" t="str">
        <f>Activities!E6</f>
        <v>Tent distribution</v>
      </c>
      <c r="AF25" s="60" t="str">
        <f>Activities!E7</f>
        <v>Emergency Shelter Kit (ESK) distribution</v>
      </c>
      <c r="AG25" s="60" t="str">
        <f>Activities!E8</f>
        <v>Provision of cash/vouchers for shelter repair or emergency shelter</v>
      </c>
      <c r="AH25" s="60" t="str">
        <f>Activities!E9</f>
        <v>Provision of cash for rent</v>
      </c>
      <c r="AI25" s="60" t="str">
        <f>Activities!E10</f>
        <v>General site development</v>
      </c>
      <c r="AO25" s="88"/>
    </row>
    <row r="26" spans="1:41" ht="45" customHeight="1" x14ac:dyDescent="0.55000000000000004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105" t="s">
        <v>578</v>
      </c>
      <c r="P26" s="41"/>
      <c r="Q26" s="41"/>
      <c r="R26" s="41"/>
      <c r="S26" s="107" t="s">
        <v>55</v>
      </c>
      <c r="T26" s="42"/>
      <c r="U26" s="42"/>
      <c r="V26" s="42"/>
      <c r="W26" s="42"/>
      <c r="X26" s="41"/>
      <c r="Y26" s="41"/>
      <c r="Z26" s="41"/>
      <c r="AA26" s="43" t="s">
        <v>463</v>
      </c>
      <c r="AB26" s="43" t="s">
        <v>463</v>
      </c>
      <c r="AC26" s="43" t="s">
        <v>463</v>
      </c>
      <c r="AD26" s="43" t="s">
        <v>463</v>
      </c>
      <c r="AE26" s="43" t="s">
        <v>463</v>
      </c>
      <c r="AF26" s="43" t="s">
        <v>463</v>
      </c>
      <c r="AG26" s="43" t="s">
        <v>463</v>
      </c>
      <c r="AH26" s="43" t="s">
        <v>463</v>
      </c>
      <c r="AI26" s="43" t="s">
        <v>463</v>
      </c>
      <c r="AL26" s="61"/>
    </row>
    <row r="27" spans="1:41" x14ac:dyDescent="0.55000000000000004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106">
        <f>SUM(O29:O218)</f>
        <v>8554095</v>
      </c>
      <c r="P27" s="95">
        <f>SUM(P29:P218)</f>
        <v>4084358</v>
      </c>
      <c r="Q27" s="95">
        <f>SUM(Q29:Q218)</f>
        <v>1434007</v>
      </c>
      <c r="R27" s="95">
        <f>SUM(R29:R218)</f>
        <v>3035730</v>
      </c>
      <c r="S27" s="106">
        <f>SUM(S29:S218)</f>
        <v>2104048</v>
      </c>
      <c r="T27" s="45">
        <f>SUM(Table24[HIDE TAR])</f>
        <v>2175969.5000000009</v>
      </c>
      <c r="U27" s="45">
        <f>SUM(Table24[HIDE IDP])</f>
        <v>1379959</v>
      </c>
      <c r="V27" s="45">
        <f>SUM(Table24[HIDE HC])</f>
        <v>391803.99999999971</v>
      </c>
      <c r="W27" s="45">
        <f>SUM(Table24[HIDE NDP])</f>
        <v>404206.5</v>
      </c>
      <c r="X27" s="62">
        <f>SUM(Table24[SHL_TAR_IDPs])</f>
        <v>1319039</v>
      </c>
      <c r="Y27" s="62">
        <f>SUM(Table24[SHL_TAR_HC])</f>
        <v>396903.99999999983</v>
      </c>
      <c r="Z27" s="62">
        <f>SUM(Table24[SHL_TAR_NDP])</f>
        <v>388100</v>
      </c>
      <c r="AA27" s="46" t="s">
        <v>20</v>
      </c>
      <c r="AB27" s="46" t="s">
        <v>20</v>
      </c>
      <c r="AC27" s="46" t="s">
        <v>20</v>
      </c>
      <c r="AD27" s="46" t="s">
        <v>20</v>
      </c>
      <c r="AE27" s="46" t="s">
        <v>20</v>
      </c>
      <c r="AF27" s="46" t="s">
        <v>20</v>
      </c>
      <c r="AG27" s="46" t="s">
        <v>20</v>
      </c>
      <c r="AH27" s="46" t="s">
        <v>20</v>
      </c>
      <c r="AI27" s="46" t="s">
        <v>20</v>
      </c>
      <c r="AL27" s="61"/>
    </row>
    <row r="28" spans="1:41" ht="21" x14ac:dyDescent="0.55000000000000004">
      <c r="A28" s="50" t="s">
        <v>56</v>
      </c>
      <c r="B28" s="50" t="s">
        <v>57</v>
      </c>
      <c r="C28" s="50" t="s">
        <v>58</v>
      </c>
      <c r="D28" s="63" t="s">
        <v>498</v>
      </c>
      <c r="E28" s="63" t="s">
        <v>464</v>
      </c>
      <c r="F28" s="94" t="s">
        <v>571</v>
      </c>
      <c r="G28" s="63" t="s">
        <v>570</v>
      </c>
      <c r="H28" s="94" t="s">
        <v>569</v>
      </c>
      <c r="I28" s="94" t="s">
        <v>576</v>
      </c>
      <c r="J28" s="94" t="s">
        <v>567</v>
      </c>
      <c r="K28" s="94" t="s">
        <v>568</v>
      </c>
      <c r="L28" s="94" t="s">
        <v>575</v>
      </c>
      <c r="M28" s="99" t="s">
        <v>583</v>
      </c>
      <c r="N28" s="99" t="s">
        <v>584</v>
      </c>
      <c r="O28" s="63" t="s">
        <v>59</v>
      </c>
      <c r="P28" s="51" t="s">
        <v>476</v>
      </c>
      <c r="Q28" s="51" t="s">
        <v>477</v>
      </c>
      <c r="R28" s="51" t="s">
        <v>478</v>
      </c>
      <c r="S28" s="63" t="s">
        <v>60</v>
      </c>
      <c r="T28" s="96" t="s">
        <v>582</v>
      </c>
      <c r="U28" s="96" t="s">
        <v>579</v>
      </c>
      <c r="V28" s="96" t="s">
        <v>580</v>
      </c>
      <c r="W28" s="96" t="s">
        <v>581</v>
      </c>
      <c r="X28" s="52" t="s">
        <v>539</v>
      </c>
      <c r="Y28" s="52" t="s">
        <v>540</v>
      </c>
      <c r="Z28" s="52" t="s">
        <v>541</v>
      </c>
      <c r="AA28" s="53" t="s">
        <v>15</v>
      </c>
      <c r="AB28" s="53" t="s">
        <v>19</v>
      </c>
      <c r="AC28" s="53" t="s">
        <v>23</v>
      </c>
      <c r="AD28" s="53" t="s">
        <v>26</v>
      </c>
      <c r="AE28" s="53" t="s">
        <v>28</v>
      </c>
      <c r="AF28" s="53" t="s">
        <v>30</v>
      </c>
      <c r="AG28" s="53" t="s">
        <v>32</v>
      </c>
      <c r="AH28" s="54" t="s">
        <v>34</v>
      </c>
      <c r="AI28" s="54" t="s">
        <v>473</v>
      </c>
      <c r="AL28" s="61"/>
    </row>
    <row r="29" spans="1:41" x14ac:dyDescent="0.55000000000000004">
      <c r="A29" t="s">
        <v>441</v>
      </c>
      <c r="B29" t="s">
        <v>61</v>
      </c>
      <c r="C29" t="s">
        <v>251</v>
      </c>
      <c r="D29" s="58">
        <f>_xlfn.XLOOKUP($B29, 'Prioritization calculation'!D:D, 'Prioritization calculation'!X:X, "")</f>
        <v>5</v>
      </c>
      <c r="E29" s="58">
        <v>3</v>
      </c>
      <c r="F29" s="58">
        <v>3</v>
      </c>
      <c r="G29" s="58" t="s">
        <v>572</v>
      </c>
      <c r="H29" s="58">
        <v>0</v>
      </c>
      <c r="I29" s="58">
        <v>0</v>
      </c>
      <c r="J29" s="58">
        <v>0</v>
      </c>
      <c r="K29" s="58"/>
      <c r="L29" s="58">
        <v>29245</v>
      </c>
      <c r="M29" s="58">
        <v>0</v>
      </c>
      <c r="N29" s="58">
        <v>0</v>
      </c>
      <c r="O29" s="97">
        <f>SUM(Table24[[#This Row],[SHL_PIN_IDPs]:[SHL_PIN_NDP]])</f>
        <v>5849</v>
      </c>
      <c r="P29" s="98">
        <v>0</v>
      </c>
      <c r="Q29" s="98">
        <v>0</v>
      </c>
      <c r="R29" s="98">
        <v>5849</v>
      </c>
      <c r="S29" s="98">
        <f>ROUND(SUM(Table24[[#This Row],[SHL_TAR_IDPs]:[SHL_TAR_NDP]]),0)</f>
        <v>0</v>
      </c>
      <c r="T29" s="48">
        <f>SUM(Table24[[#This Row],[HIDE IDP]:[HIDE NDP]])</f>
        <v>146</v>
      </c>
      <c r="U29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0</v>
      </c>
      <c r="V29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0</v>
      </c>
      <c r="W29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146</v>
      </c>
      <c r="X29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0</v>
      </c>
      <c r="Y29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0</v>
      </c>
      <c r="Z29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29" s="49">
        <f>ROUND($P$8*(Table24[[#This Row],[SHL_TAR_IDPs]]*$AA$3+Table24[[#This Row],[SHL_TAR_HC]]*$AA$4+Table24[[#This Row],[SHL_TAR_NDP]]*$AA$5)/$AA$18,0)</f>
        <v>0</v>
      </c>
      <c r="AB29" s="49">
        <f>ROUND($P$8*(Table24[[#This Row],[SHL_TAR_IDPs]]*$AB$3+Table24[[#This Row],[SHL_TAR_HC]]*$AB$4+Table24[[#This Row],[SHL_TAR_NDP]]*$AB$5)/$AB$18,0)</f>
        <v>0</v>
      </c>
      <c r="AC29" s="49">
        <f>ROUND($Q$8*(Table24[[#This Row],[SHL_TAR_IDPs]]*$AC$3+Table24[[#This Row],[SHL_TAR_HC]]*$AC$4+Table24[[#This Row],[SHL_TAR_NDP]]*$AC$5)/$AC$18,0)</f>
        <v>0</v>
      </c>
      <c r="AD29" s="49">
        <f>ROUND($Q$8*(Table24[[#This Row],[SHL_TAR_IDPs]]*$AD$3+Table24[[#This Row],[SHL_TAR_HC]]*$AD$4+Table24[[#This Row],[SHL_TAR_NDP]]*$AD$5)/$AD$18,0)</f>
        <v>0</v>
      </c>
      <c r="AE29" s="49">
        <f>ROUND($Q$8*(Table24[[#This Row],[SHL_TAR_IDPs]]*$AE$3+Table24[[#This Row],[SHL_TAR_HC]]*$AE$4+Table24[[#This Row],[SHL_TAR_NDP]]*$AE$5)/$AE$18,0)</f>
        <v>0</v>
      </c>
      <c r="AF29" s="49">
        <f>ROUND($Q$8*(Table24[[#This Row],[SHL_TAR_IDPs]]*$AF$3+Table24[[#This Row],[SHL_TAR_HC]]*$AF$4+Table24[[#This Row],[SHL_TAR_NDP]]*$AF$5)/$AF$18,0)</f>
        <v>0</v>
      </c>
      <c r="AG29" s="49">
        <f>ROUND($Q$8*(Table24[[#This Row],[SHL_TAR_IDPs]]*$AG$3+Table24[[#This Row],[SHL_TAR_HC]]*$AG$4+Table24[[#This Row],[SHL_TAR_NDP]]*$AG$5)/$AG$18,0)</f>
        <v>0</v>
      </c>
      <c r="AH29" s="49">
        <f>ROUND($Q$8*(Table24[[#This Row],[SHL_TAR_IDPs]]*$AH$3+Table24[[#This Row],[SHL_TAR_HC]]*$AH$4+Table24[[#This Row],[SHL_TAR_NDP]]*$AH$5)/$AH$18,0)</f>
        <v>0</v>
      </c>
      <c r="AI29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  <c r="AL29" s="61"/>
    </row>
    <row r="30" spans="1:41" ht="14.4" customHeight="1" x14ac:dyDescent="0.55000000000000004">
      <c r="A30" t="s">
        <v>442</v>
      </c>
      <c r="B30" t="s">
        <v>62</v>
      </c>
      <c r="C30" t="s">
        <v>252</v>
      </c>
      <c r="D30" s="58">
        <f>_xlfn.XLOOKUP($B30, 'Prioritization calculation'!D:D, 'Prioritization calculation'!X:X, "")</f>
        <v>2</v>
      </c>
      <c r="E30" s="58">
        <v>4</v>
      </c>
      <c r="F30" s="58">
        <v>3</v>
      </c>
      <c r="G30" s="58" t="s">
        <v>521</v>
      </c>
      <c r="H30" s="58">
        <v>23710</v>
      </c>
      <c r="I30" s="58">
        <v>2560</v>
      </c>
      <c r="J30" s="58">
        <v>785</v>
      </c>
      <c r="K30" s="58"/>
      <c r="L30" s="58">
        <v>12200</v>
      </c>
      <c r="M30" s="58">
        <v>0</v>
      </c>
      <c r="N30" s="58">
        <v>659.99999999999989</v>
      </c>
      <c r="O30" s="97">
        <f>SUM(Table24[[#This Row],[SHL_PIN_IDPs]:[SHL_PIN_NDP]])</f>
        <v>93910</v>
      </c>
      <c r="P30" s="98">
        <v>8792</v>
      </c>
      <c r="Q30" s="98">
        <v>8247</v>
      </c>
      <c r="R30" s="98">
        <v>76871</v>
      </c>
      <c r="S30" s="98">
        <f>ROUND(SUM(Table24[[#This Row],[SHL_TAR_IDPs]:[SHL_TAR_NDP]]),0)</f>
        <v>32295</v>
      </c>
      <c r="T30" s="48">
        <f>SUM(Table24[[#This Row],[HIDE IDP]:[HIDE NDP]])</f>
        <v>32294.9</v>
      </c>
      <c r="U30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5275</v>
      </c>
      <c r="V30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3958.4</v>
      </c>
      <c r="W30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23061.5</v>
      </c>
      <c r="X30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5275</v>
      </c>
      <c r="Y30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3958.4</v>
      </c>
      <c r="Z30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23061.5</v>
      </c>
      <c r="AA30" s="49">
        <f>ROUND($P$8*(Table24[[#This Row],[SHL_TAR_IDPs]]*$AA$3+Table24[[#This Row],[SHL_TAR_HC]]*$AA$4+Table24[[#This Row],[SHL_TAR_NDP]]*$AA$5)/$AA$18,0)</f>
        <v>2745</v>
      </c>
      <c r="AB30" s="49">
        <f>ROUND($P$8*(Table24[[#This Row],[SHL_TAR_IDPs]]*$AB$3+Table24[[#This Row],[SHL_TAR_HC]]*$AB$4+Table24[[#This Row],[SHL_TAR_NDP]]*$AB$5)/$AB$18,0)</f>
        <v>2745</v>
      </c>
      <c r="AC30" s="49">
        <f>ROUND($Q$8*(Table24[[#This Row],[SHL_TAR_IDPs]]*$AC$3+Table24[[#This Row],[SHL_TAR_HC]]*$AC$4+Table24[[#This Row],[SHL_TAR_NDP]]*$AC$5)/$AC$18,0)</f>
        <v>53</v>
      </c>
      <c r="AD30" s="49">
        <f>ROUND($Q$8*(Table24[[#This Row],[SHL_TAR_IDPs]]*$AD$3+Table24[[#This Row],[SHL_TAR_HC]]*$AD$4+Table24[[#This Row],[SHL_TAR_NDP]]*$AD$5)/$AD$18,0)</f>
        <v>53</v>
      </c>
      <c r="AE30" s="49">
        <f>ROUND($Q$8*(Table24[[#This Row],[SHL_TAR_IDPs]]*$AE$3+Table24[[#This Row],[SHL_TAR_HC]]*$AE$4+Table24[[#This Row],[SHL_TAR_NDP]]*$AE$5)/$AE$18,0)</f>
        <v>323</v>
      </c>
      <c r="AF30" s="49">
        <f>ROUND($Q$8*(Table24[[#This Row],[SHL_TAR_IDPs]]*$AF$3+Table24[[#This Row],[SHL_TAR_HC]]*$AF$4+Table24[[#This Row],[SHL_TAR_NDP]]*$AF$5)/$AF$18,0)</f>
        <v>646</v>
      </c>
      <c r="AG30" s="49">
        <f>ROUND($Q$8*(Table24[[#This Row],[SHL_TAR_IDPs]]*$AG$3+Table24[[#This Row],[SHL_TAR_HC]]*$AG$4+Table24[[#This Row],[SHL_TAR_NDP]]*$AG$5)/$AG$18,0)</f>
        <v>2010</v>
      </c>
      <c r="AH30" s="49">
        <f>ROUND($Q$8*(Table24[[#This Row],[SHL_TAR_IDPs]]*$AH$3+Table24[[#This Row],[SHL_TAR_HC]]*$AH$4+Table24[[#This Row],[SHL_TAR_NDP]]*$AH$5)/$AH$18,0)</f>
        <v>145</v>
      </c>
      <c r="AI30" s="49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>188</v>
      </c>
    </row>
    <row r="31" spans="1:41" ht="14.4" customHeight="1" x14ac:dyDescent="0.55000000000000004">
      <c r="A31" t="s">
        <v>442</v>
      </c>
      <c r="B31" t="s">
        <v>63</v>
      </c>
      <c r="C31" t="s">
        <v>253</v>
      </c>
      <c r="D31" s="58">
        <f>_xlfn.XLOOKUP($B31, 'Prioritization calculation'!D:D, 'Prioritization calculation'!X:X, "")</f>
        <v>5</v>
      </c>
      <c r="E31" s="58">
        <v>4</v>
      </c>
      <c r="F31" s="58">
        <v>4</v>
      </c>
      <c r="G31" s="58" t="s">
        <v>572</v>
      </c>
      <c r="H31" s="58">
        <v>77392</v>
      </c>
      <c r="I31" s="58">
        <v>0</v>
      </c>
      <c r="J31" s="58">
        <v>0</v>
      </c>
      <c r="K31" s="58"/>
      <c r="L31" s="58">
        <v>13870</v>
      </c>
      <c r="M31" s="58">
        <v>9723</v>
      </c>
      <c r="N31" s="58">
        <v>275</v>
      </c>
      <c r="O31" s="97">
        <f>SUM(Table24[[#This Row],[SHL_PIN_IDPs]:[SHL_PIN_NDP]])</f>
        <v>100544</v>
      </c>
      <c r="P31" s="98">
        <v>43341</v>
      </c>
      <c r="Q31" s="98">
        <v>21712</v>
      </c>
      <c r="R31" s="98">
        <v>35491</v>
      </c>
      <c r="S31" s="98">
        <f>ROUND(SUM(Table24[[#This Row],[SHL_TAR_IDPs]:[SHL_TAR_NDP]]),0)</f>
        <v>7845</v>
      </c>
      <c r="T31" s="48">
        <f>SUM(Table24[[#This Row],[HIDE IDP]:[HIDE NDP]])</f>
        <v>7845.3</v>
      </c>
      <c r="U31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4334</v>
      </c>
      <c r="V31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1736.8000000000002</v>
      </c>
      <c r="W31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1774.5</v>
      </c>
      <c r="X31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4334</v>
      </c>
      <c r="Y31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1736.8000000000002</v>
      </c>
      <c r="Z31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1774.5</v>
      </c>
      <c r="AA31" s="49">
        <f>ROUND($P$8*(Table24[[#This Row],[SHL_TAR_IDPs]]*$AA$3+Table24[[#This Row],[SHL_TAR_HC]]*$AA$4+Table24[[#This Row],[SHL_TAR_NDP]]*$AA$5)/$AA$18,0)</f>
        <v>667</v>
      </c>
      <c r="AB31" s="49">
        <f>ROUND($P$8*(Table24[[#This Row],[SHL_TAR_IDPs]]*$AB$3+Table24[[#This Row],[SHL_TAR_HC]]*$AB$4+Table24[[#This Row],[SHL_TAR_NDP]]*$AB$5)/$AB$18,0)</f>
        <v>667</v>
      </c>
      <c r="AC31" s="49">
        <f>ROUND($Q$8*(Table24[[#This Row],[SHL_TAR_IDPs]]*$AC$3+Table24[[#This Row],[SHL_TAR_HC]]*$AC$4+Table24[[#This Row],[SHL_TAR_NDP]]*$AC$5)/$AC$18,0)</f>
        <v>43</v>
      </c>
      <c r="AD31" s="49">
        <f>ROUND($Q$8*(Table24[[#This Row],[SHL_TAR_IDPs]]*$AD$3+Table24[[#This Row],[SHL_TAR_HC]]*$AD$4+Table24[[#This Row],[SHL_TAR_NDP]]*$AD$5)/$AD$18,0)</f>
        <v>43</v>
      </c>
      <c r="AE31" s="49">
        <f>ROUND($Q$8*(Table24[[#This Row],[SHL_TAR_IDPs]]*$AE$3+Table24[[#This Row],[SHL_TAR_HC]]*$AE$4+Table24[[#This Row],[SHL_TAR_NDP]]*$AE$5)/$AE$18,0)</f>
        <v>78</v>
      </c>
      <c r="AF31" s="49">
        <f>ROUND($Q$8*(Table24[[#This Row],[SHL_TAR_IDPs]]*$AF$3+Table24[[#This Row],[SHL_TAR_HC]]*$AF$4+Table24[[#This Row],[SHL_TAR_NDP]]*$AF$5)/$AF$18,0)</f>
        <v>157</v>
      </c>
      <c r="AG31" s="49">
        <f>ROUND($Q$8*(Table24[[#This Row],[SHL_TAR_IDPs]]*$AG$3+Table24[[#This Row],[SHL_TAR_HC]]*$AG$4+Table24[[#This Row],[SHL_TAR_NDP]]*$AG$5)/$AG$18,0)</f>
        <v>358</v>
      </c>
      <c r="AH31" s="49">
        <f>ROUND($Q$8*(Table24[[#This Row],[SHL_TAR_IDPs]]*$AH$3+Table24[[#This Row],[SHL_TAR_HC]]*$AH$4+Table24[[#This Row],[SHL_TAR_NDP]]*$AH$5)/$AH$18,0)</f>
        <v>104</v>
      </c>
      <c r="AI31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</row>
    <row r="32" spans="1:41" ht="14.4" customHeight="1" x14ac:dyDescent="0.55000000000000004">
      <c r="A32" t="s">
        <v>442</v>
      </c>
      <c r="B32" t="s">
        <v>64</v>
      </c>
      <c r="C32" t="s">
        <v>254</v>
      </c>
      <c r="D32" s="58">
        <f>_xlfn.XLOOKUP($B32, 'Prioritization calculation'!D:D, 'Prioritization calculation'!X:X, "")</f>
        <v>3</v>
      </c>
      <c r="E32" s="58">
        <v>3</v>
      </c>
      <c r="F32" s="58">
        <v>3</v>
      </c>
      <c r="G32" s="58" t="s">
        <v>521</v>
      </c>
      <c r="H32" s="58">
        <v>31576</v>
      </c>
      <c r="I32" s="58">
        <v>6245</v>
      </c>
      <c r="J32" s="58">
        <v>0</v>
      </c>
      <c r="K32" s="58"/>
      <c r="L32" s="58">
        <v>8715</v>
      </c>
      <c r="M32" s="58">
        <v>0</v>
      </c>
      <c r="N32" s="58">
        <v>232.5</v>
      </c>
      <c r="O32" s="97">
        <f>SUM(Table24[[#This Row],[SHL_PIN_IDPs]:[SHL_PIN_NDP]])</f>
        <v>66596</v>
      </c>
      <c r="P32" s="98">
        <v>11872</v>
      </c>
      <c r="Q32" s="98">
        <v>5942</v>
      </c>
      <c r="R32" s="98">
        <v>48782</v>
      </c>
      <c r="S32" s="98">
        <f>ROUND(SUM(Table24[[#This Row],[SHL_TAR_IDPs]:[SHL_TAR_NDP]]),0)</f>
        <v>8202</v>
      </c>
      <c r="T32" s="48">
        <f>SUM(Table24[[#This Row],[HIDE IDP]:[HIDE NDP]])</f>
        <v>8202.4</v>
      </c>
      <c r="U32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2374</v>
      </c>
      <c r="V32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950.40000000000009</v>
      </c>
      <c r="W32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4878</v>
      </c>
      <c r="X32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2374</v>
      </c>
      <c r="Y32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950.40000000000009</v>
      </c>
      <c r="Z32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4878</v>
      </c>
      <c r="AA32" s="49">
        <f>ROUND($P$8*(Table24[[#This Row],[SHL_TAR_IDPs]]*$AA$3+Table24[[#This Row],[SHL_TAR_HC]]*$AA$4+Table24[[#This Row],[SHL_TAR_NDP]]*$AA$5)/$AA$18,0)</f>
        <v>697</v>
      </c>
      <c r="AB32" s="49">
        <f>ROUND($P$8*(Table24[[#This Row],[SHL_TAR_IDPs]]*$AB$3+Table24[[#This Row],[SHL_TAR_HC]]*$AB$4+Table24[[#This Row],[SHL_TAR_NDP]]*$AB$5)/$AB$18,0)</f>
        <v>697</v>
      </c>
      <c r="AC32" s="49">
        <f>ROUND($Q$8*(Table24[[#This Row],[SHL_TAR_IDPs]]*$AC$3+Table24[[#This Row],[SHL_TAR_HC]]*$AC$4+Table24[[#This Row],[SHL_TAR_NDP]]*$AC$5)/$AC$18,0)</f>
        <v>24</v>
      </c>
      <c r="AD32" s="49">
        <f>ROUND($Q$8*(Table24[[#This Row],[SHL_TAR_IDPs]]*$AD$3+Table24[[#This Row],[SHL_TAR_HC]]*$AD$4+Table24[[#This Row],[SHL_TAR_NDP]]*$AD$5)/$AD$18,0)</f>
        <v>24</v>
      </c>
      <c r="AE32" s="49">
        <f>ROUND($Q$8*(Table24[[#This Row],[SHL_TAR_IDPs]]*$AE$3+Table24[[#This Row],[SHL_TAR_HC]]*$AE$4+Table24[[#This Row],[SHL_TAR_NDP]]*$AE$5)/$AE$18,0)</f>
        <v>82</v>
      </c>
      <c r="AF32" s="49">
        <f>ROUND($Q$8*(Table24[[#This Row],[SHL_TAR_IDPs]]*$AF$3+Table24[[#This Row],[SHL_TAR_HC]]*$AF$4+Table24[[#This Row],[SHL_TAR_NDP]]*$AF$5)/$AF$18,0)</f>
        <v>164</v>
      </c>
      <c r="AG32" s="49">
        <f>ROUND($Q$8*(Table24[[#This Row],[SHL_TAR_IDPs]]*$AG$3+Table24[[#This Row],[SHL_TAR_HC]]*$AG$4+Table24[[#This Row],[SHL_TAR_NDP]]*$AG$5)/$AG$18,0)</f>
        <v>470</v>
      </c>
      <c r="AH32" s="49">
        <f>ROUND($Q$8*(Table24[[#This Row],[SHL_TAR_IDPs]]*$AH$3+Table24[[#This Row],[SHL_TAR_HC]]*$AH$4+Table24[[#This Row],[SHL_TAR_NDP]]*$AH$5)/$AH$18,0)</f>
        <v>57</v>
      </c>
      <c r="AI32" s="49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>53</v>
      </c>
    </row>
    <row r="33" spans="1:35" x14ac:dyDescent="0.55000000000000004">
      <c r="A33" t="s">
        <v>442</v>
      </c>
      <c r="B33" t="s">
        <v>65</v>
      </c>
      <c r="C33" t="s">
        <v>255</v>
      </c>
      <c r="D33" s="58">
        <f>_xlfn.XLOOKUP($B33, 'Prioritization calculation'!D:D, 'Prioritization calculation'!X:X, "")</f>
        <v>3</v>
      </c>
      <c r="E33" s="58">
        <v>3</v>
      </c>
      <c r="F33" s="58">
        <v>3</v>
      </c>
      <c r="G33" s="58" t="s">
        <v>521</v>
      </c>
      <c r="H33" s="58">
        <v>11187</v>
      </c>
      <c r="I33" s="58">
        <v>0</v>
      </c>
      <c r="J33" s="58">
        <v>0</v>
      </c>
      <c r="K33" s="58"/>
      <c r="L33" s="58">
        <v>11265</v>
      </c>
      <c r="M33" s="58">
        <v>10175</v>
      </c>
      <c r="N33" s="58">
        <v>2.5</v>
      </c>
      <c r="O33" s="97">
        <f>SUM(Table24[[#This Row],[SHL_PIN_IDPs]:[SHL_PIN_NDP]])</f>
        <v>30835</v>
      </c>
      <c r="P33" s="98">
        <v>0</v>
      </c>
      <c r="Q33" s="98">
        <v>0</v>
      </c>
      <c r="R33" s="98">
        <v>30835</v>
      </c>
      <c r="S33" s="98">
        <f>ROUND(SUM(Table24[[#This Row],[SHL_TAR_IDPs]:[SHL_TAR_NDP]]),0)</f>
        <v>0</v>
      </c>
      <c r="T33" s="48">
        <f>SUM(Table24[[#This Row],[HIDE IDP]:[HIDE NDP]])</f>
        <v>3083.5</v>
      </c>
      <c r="U33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0</v>
      </c>
      <c r="V33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0</v>
      </c>
      <c r="W33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3083.5</v>
      </c>
      <c r="X33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0</v>
      </c>
      <c r="Y33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0</v>
      </c>
      <c r="Z33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33" s="49">
        <f>ROUND($P$8*(Table24[[#This Row],[SHL_TAR_IDPs]]*$AA$3+Table24[[#This Row],[SHL_TAR_HC]]*$AA$4+Table24[[#This Row],[SHL_TAR_NDP]]*$AA$5)/$AA$18,0)</f>
        <v>0</v>
      </c>
      <c r="AB33" s="49">
        <f>ROUND($P$8*(Table24[[#This Row],[SHL_TAR_IDPs]]*$AB$3+Table24[[#This Row],[SHL_TAR_HC]]*$AB$4+Table24[[#This Row],[SHL_TAR_NDP]]*$AB$5)/$AB$18,0)</f>
        <v>0</v>
      </c>
      <c r="AC33" s="49">
        <f>ROUND($Q$8*(Table24[[#This Row],[SHL_TAR_IDPs]]*$AC$3+Table24[[#This Row],[SHL_TAR_HC]]*$AC$4+Table24[[#This Row],[SHL_TAR_NDP]]*$AC$5)/$AC$18,0)</f>
        <v>0</v>
      </c>
      <c r="AD33" s="49">
        <f>ROUND($Q$8*(Table24[[#This Row],[SHL_TAR_IDPs]]*$AD$3+Table24[[#This Row],[SHL_TAR_HC]]*$AD$4+Table24[[#This Row],[SHL_TAR_NDP]]*$AD$5)/$AD$18,0)</f>
        <v>0</v>
      </c>
      <c r="AE33" s="49">
        <f>ROUND($Q$8*(Table24[[#This Row],[SHL_TAR_IDPs]]*$AE$3+Table24[[#This Row],[SHL_TAR_HC]]*$AE$4+Table24[[#This Row],[SHL_TAR_NDP]]*$AE$5)/$AE$18,0)</f>
        <v>0</v>
      </c>
      <c r="AF33" s="49">
        <f>ROUND($Q$8*(Table24[[#This Row],[SHL_TAR_IDPs]]*$AF$3+Table24[[#This Row],[SHL_TAR_HC]]*$AF$4+Table24[[#This Row],[SHL_TAR_NDP]]*$AF$5)/$AF$18,0)</f>
        <v>0</v>
      </c>
      <c r="AG33" s="49">
        <f>ROUND($Q$8*(Table24[[#This Row],[SHL_TAR_IDPs]]*$AG$3+Table24[[#This Row],[SHL_TAR_HC]]*$AG$4+Table24[[#This Row],[SHL_TAR_NDP]]*$AG$5)/$AG$18,0)</f>
        <v>0</v>
      </c>
      <c r="AH33" s="49">
        <f>ROUND($Q$8*(Table24[[#This Row],[SHL_TAR_IDPs]]*$AH$3+Table24[[#This Row],[SHL_TAR_HC]]*$AH$4+Table24[[#This Row],[SHL_TAR_NDP]]*$AH$5)/$AH$18,0)</f>
        <v>0</v>
      </c>
      <c r="AI33" s="49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>0</v>
      </c>
    </row>
    <row r="34" spans="1:35" ht="14.4" customHeight="1" x14ac:dyDescent="0.55000000000000004">
      <c r="A34" t="s">
        <v>442</v>
      </c>
      <c r="B34" t="s">
        <v>66</v>
      </c>
      <c r="C34" t="s">
        <v>256</v>
      </c>
      <c r="D34" s="58">
        <f>_xlfn.XLOOKUP($B34, 'Prioritization calculation'!D:D, 'Prioritization calculation'!X:X, "")</f>
        <v>3</v>
      </c>
      <c r="E34" s="58">
        <v>3</v>
      </c>
      <c r="F34" s="58">
        <v>3</v>
      </c>
      <c r="G34" s="58" t="s">
        <v>521</v>
      </c>
      <c r="H34" s="58">
        <v>26686</v>
      </c>
      <c r="I34" s="58">
        <v>0</v>
      </c>
      <c r="J34" s="58">
        <v>0</v>
      </c>
      <c r="K34" s="58"/>
      <c r="L34" s="58">
        <v>6420</v>
      </c>
      <c r="M34" s="58">
        <v>17917</v>
      </c>
      <c r="N34" s="58">
        <v>622.06946403385064</v>
      </c>
      <c r="O34" s="97">
        <f>SUM(Table24[[#This Row],[SHL_PIN_IDPs]:[SHL_PIN_NDP]])</f>
        <v>54443</v>
      </c>
      <c r="P34" s="98">
        <v>8786</v>
      </c>
      <c r="Q34" s="98">
        <v>4421</v>
      </c>
      <c r="R34" s="98">
        <v>41236</v>
      </c>
      <c r="S34" s="98">
        <f>ROUND(SUM(Table24[[#This Row],[SHL_TAR_IDPs]:[SHL_TAR_NDP]]),0)</f>
        <v>6588</v>
      </c>
      <c r="T34" s="48">
        <f>SUM(Table24[[#This Row],[HIDE IDP]:[HIDE NDP]])</f>
        <v>6587.7</v>
      </c>
      <c r="U34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1757</v>
      </c>
      <c r="V34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707.2</v>
      </c>
      <c r="W34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4123.5</v>
      </c>
      <c r="X34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1757</v>
      </c>
      <c r="Y34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707.2</v>
      </c>
      <c r="Z34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4123.5</v>
      </c>
      <c r="AA34" s="49">
        <f>ROUND($P$8*(Table24[[#This Row],[SHL_TAR_IDPs]]*$AA$3+Table24[[#This Row],[SHL_TAR_HC]]*$AA$4+Table24[[#This Row],[SHL_TAR_NDP]]*$AA$5)/$AA$18,0)</f>
        <v>560</v>
      </c>
      <c r="AB34" s="49">
        <f>ROUND($P$8*(Table24[[#This Row],[SHL_TAR_IDPs]]*$AB$3+Table24[[#This Row],[SHL_TAR_HC]]*$AB$4+Table24[[#This Row],[SHL_TAR_NDP]]*$AB$5)/$AB$18,0)</f>
        <v>560</v>
      </c>
      <c r="AC34" s="49">
        <f>ROUND($Q$8*(Table24[[#This Row],[SHL_TAR_IDPs]]*$AC$3+Table24[[#This Row],[SHL_TAR_HC]]*$AC$4+Table24[[#This Row],[SHL_TAR_NDP]]*$AC$5)/$AC$18,0)</f>
        <v>18</v>
      </c>
      <c r="AD34" s="49">
        <f>ROUND($Q$8*(Table24[[#This Row],[SHL_TAR_IDPs]]*$AD$3+Table24[[#This Row],[SHL_TAR_HC]]*$AD$4+Table24[[#This Row],[SHL_TAR_NDP]]*$AD$5)/$AD$18,0)</f>
        <v>18</v>
      </c>
      <c r="AE34" s="49">
        <f>ROUND($Q$8*(Table24[[#This Row],[SHL_TAR_IDPs]]*$AE$3+Table24[[#This Row],[SHL_TAR_HC]]*$AE$4+Table24[[#This Row],[SHL_TAR_NDP]]*$AE$5)/$AE$18,0)</f>
        <v>66</v>
      </c>
      <c r="AF34" s="49">
        <f>ROUND($Q$8*(Table24[[#This Row],[SHL_TAR_IDPs]]*$AF$3+Table24[[#This Row],[SHL_TAR_HC]]*$AF$4+Table24[[#This Row],[SHL_TAR_NDP]]*$AF$5)/$AF$18,0)</f>
        <v>132</v>
      </c>
      <c r="AG34" s="49">
        <f>ROUND($Q$8*(Table24[[#This Row],[SHL_TAR_IDPs]]*$AG$3+Table24[[#This Row],[SHL_TAR_HC]]*$AG$4+Table24[[#This Row],[SHL_TAR_NDP]]*$AG$5)/$AG$18,0)</f>
        <v>384</v>
      </c>
      <c r="AH34" s="49">
        <f>ROUND($Q$8*(Table24[[#This Row],[SHL_TAR_IDPs]]*$AH$3+Table24[[#This Row],[SHL_TAR_HC]]*$AH$4+Table24[[#This Row],[SHL_TAR_NDP]]*$AH$5)/$AH$18,0)</f>
        <v>42</v>
      </c>
      <c r="AI34" s="49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>42</v>
      </c>
    </row>
    <row r="35" spans="1:35" ht="14.4" customHeight="1" x14ac:dyDescent="0.55000000000000004">
      <c r="A35" t="s">
        <v>442</v>
      </c>
      <c r="B35" t="s">
        <v>67</v>
      </c>
      <c r="C35" t="s">
        <v>257</v>
      </c>
      <c r="D35" s="58">
        <f>_xlfn.XLOOKUP($B35, 'Prioritization calculation'!D:D, 'Prioritization calculation'!X:X, "")</f>
        <v>1</v>
      </c>
      <c r="E35" s="58">
        <v>4</v>
      </c>
      <c r="F35" s="58">
        <v>3</v>
      </c>
      <c r="G35" s="58" t="s">
        <v>521</v>
      </c>
      <c r="H35" s="58">
        <v>63526</v>
      </c>
      <c r="I35" s="58">
        <v>7720</v>
      </c>
      <c r="J35" s="58">
        <v>13565</v>
      </c>
      <c r="K35" s="58">
        <v>1165</v>
      </c>
      <c r="L35" s="58">
        <v>3810</v>
      </c>
      <c r="M35" s="58">
        <v>27363</v>
      </c>
      <c r="N35" s="58">
        <v>0</v>
      </c>
      <c r="O35" s="97">
        <f>SUM(Table24[[#This Row],[SHL_PIN_IDPs]:[SHL_PIN_NDP]])</f>
        <v>46182</v>
      </c>
      <c r="P35" s="98">
        <v>34616</v>
      </c>
      <c r="Q35" s="98">
        <v>11566</v>
      </c>
      <c r="R35" s="98">
        <v>0</v>
      </c>
      <c r="S35" s="98">
        <f>ROUND(SUM(Table24[[#This Row],[SHL_TAR_IDPs]:[SHL_TAR_NDP]]),0)</f>
        <v>35095</v>
      </c>
      <c r="T35" s="48">
        <f>SUM(Table24[[#This Row],[HIDE IDP]:[HIDE NDP]])</f>
        <v>35095.4</v>
      </c>
      <c r="U35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27693</v>
      </c>
      <c r="V35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7402.4000000000005</v>
      </c>
      <c r="W35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0</v>
      </c>
      <c r="X35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27693</v>
      </c>
      <c r="Y35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7402.4000000000005</v>
      </c>
      <c r="Z35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35" s="49">
        <f>ROUND($P$8*(Table24[[#This Row],[SHL_TAR_IDPs]]*$AA$3+Table24[[#This Row],[SHL_TAR_HC]]*$AA$4+Table24[[#This Row],[SHL_TAR_NDP]]*$AA$5)/$AA$18,0)</f>
        <v>2983</v>
      </c>
      <c r="AB35" s="49">
        <f>ROUND($P$8*(Table24[[#This Row],[SHL_TAR_IDPs]]*$AB$3+Table24[[#This Row],[SHL_TAR_HC]]*$AB$4+Table24[[#This Row],[SHL_TAR_NDP]]*$AB$5)/$AB$18,0)</f>
        <v>2983</v>
      </c>
      <c r="AC35" s="49">
        <f>ROUND($Q$8*(Table24[[#This Row],[SHL_TAR_IDPs]]*$AC$3+Table24[[#This Row],[SHL_TAR_HC]]*$AC$4+Table24[[#This Row],[SHL_TAR_NDP]]*$AC$5)/$AC$18,0)</f>
        <v>277</v>
      </c>
      <c r="AD35" s="49">
        <f>ROUND($Q$8*(Table24[[#This Row],[SHL_TAR_IDPs]]*$AD$3+Table24[[#This Row],[SHL_TAR_HC]]*$AD$4+Table24[[#This Row],[SHL_TAR_NDP]]*$AD$5)/$AD$18,0)</f>
        <v>277</v>
      </c>
      <c r="AE35" s="49">
        <f>ROUND($Q$8*(Table24[[#This Row],[SHL_TAR_IDPs]]*$AE$3+Table24[[#This Row],[SHL_TAR_HC]]*$AE$4+Table24[[#This Row],[SHL_TAR_NDP]]*$AE$5)/$AE$18,0)</f>
        <v>351</v>
      </c>
      <c r="AF35" s="49">
        <f>ROUND($Q$8*(Table24[[#This Row],[SHL_TAR_IDPs]]*$AF$3+Table24[[#This Row],[SHL_TAR_HC]]*$AF$4+Table24[[#This Row],[SHL_TAR_NDP]]*$AF$5)/$AF$18,0)</f>
        <v>702</v>
      </c>
      <c r="AG35" s="49">
        <f>ROUND($Q$8*(Table24[[#This Row],[SHL_TAR_IDPs]]*$AG$3+Table24[[#This Row],[SHL_TAR_HC]]*$AG$4+Table24[[#This Row],[SHL_TAR_NDP]]*$AG$5)/$AG$18,0)</f>
        <v>1275</v>
      </c>
      <c r="AH35" s="49">
        <f>ROUND($Q$8*(Table24[[#This Row],[SHL_TAR_IDPs]]*$AH$3+Table24[[#This Row],[SHL_TAR_HC]]*$AH$4+Table24[[#This Row],[SHL_TAR_NDP]]*$AH$5)/$AH$18,0)</f>
        <v>628</v>
      </c>
      <c r="AI35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</row>
    <row r="36" spans="1:35" ht="14.4" customHeight="1" x14ac:dyDescent="0.55000000000000004">
      <c r="A36" t="s">
        <v>442</v>
      </c>
      <c r="B36" t="s">
        <v>68</v>
      </c>
      <c r="C36" t="s">
        <v>258</v>
      </c>
      <c r="D36" s="58">
        <f>_xlfn.XLOOKUP($B36, 'Prioritization calculation'!D:D, 'Prioritization calculation'!X:X, "")</f>
        <v>1</v>
      </c>
      <c r="E36" s="58">
        <v>3</v>
      </c>
      <c r="F36" s="58">
        <v>3</v>
      </c>
      <c r="G36" s="58" t="s">
        <v>521</v>
      </c>
      <c r="H36" s="58">
        <v>14150</v>
      </c>
      <c r="I36" s="58">
        <v>570</v>
      </c>
      <c r="J36" s="58">
        <v>570</v>
      </c>
      <c r="K36" s="58"/>
      <c r="L36" s="58">
        <v>17990</v>
      </c>
      <c r="M36" s="58">
        <v>16341</v>
      </c>
      <c r="N36" s="58">
        <v>950.86520947176678</v>
      </c>
      <c r="O36" s="97">
        <f>SUM(Table24[[#This Row],[SHL_PIN_IDPs]:[SHL_PIN_NDP]])</f>
        <v>50410</v>
      </c>
      <c r="P36" s="98">
        <v>0</v>
      </c>
      <c r="Q36" s="98">
        <v>0</v>
      </c>
      <c r="R36" s="98">
        <v>50410</v>
      </c>
      <c r="S36" s="98">
        <f>ROUND(SUM(Table24[[#This Row],[SHL_TAR_IDPs]:[SHL_TAR_NDP]]),0)</f>
        <v>15123</v>
      </c>
      <c r="T36" s="48">
        <f>SUM(Table24[[#This Row],[HIDE IDP]:[HIDE NDP]])</f>
        <v>15123</v>
      </c>
      <c r="U36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0</v>
      </c>
      <c r="V36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0</v>
      </c>
      <c r="W36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15123</v>
      </c>
      <c r="X36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0</v>
      </c>
      <c r="Y36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0</v>
      </c>
      <c r="Z36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15123</v>
      </c>
      <c r="AA36" s="49">
        <f>ROUND($P$8*(Table24[[#This Row],[SHL_TAR_IDPs]]*$AA$3+Table24[[#This Row],[SHL_TAR_HC]]*$AA$4+Table24[[#This Row],[SHL_TAR_NDP]]*$AA$5)/$AA$18,0)</f>
        <v>1285</v>
      </c>
      <c r="AB36" s="49">
        <f>ROUND($P$8*(Table24[[#This Row],[SHL_TAR_IDPs]]*$AB$3+Table24[[#This Row],[SHL_TAR_HC]]*$AB$4+Table24[[#This Row],[SHL_TAR_NDP]]*$AB$5)/$AB$18,0)</f>
        <v>1285</v>
      </c>
      <c r="AC36" s="49">
        <f>ROUND($Q$8*(Table24[[#This Row],[SHL_TAR_IDPs]]*$AC$3+Table24[[#This Row],[SHL_TAR_HC]]*$AC$4+Table24[[#This Row],[SHL_TAR_NDP]]*$AC$5)/$AC$18,0)</f>
        <v>0</v>
      </c>
      <c r="AD36" s="49">
        <f>ROUND($Q$8*(Table24[[#This Row],[SHL_TAR_IDPs]]*$AD$3+Table24[[#This Row],[SHL_TAR_HC]]*$AD$4+Table24[[#This Row],[SHL_TAR_NDP]]*$AD$5)/$AD$18,0)</f>
        <v>0</v>
      </c>
      <c r="AE36" s="49">
        <f>ROUND($Q$8*(Table24[[#This Row],[SHL_TAR_IDPs]]*$AE$3+Table24[[#This Row],[SHL_TAR_HC]]*$AE$4+Table24[[#This Row],[SHL_TAR_NDP]]*$AE$5)/$AE$18,0)</f>
        <v>151</v>
      </c>
      <c r="AF36" s="49">
        <f>ROUND($Q$8*(Table24[[#This Row],[SHL_TAR_IDPs]]*$AF$3+Table24[[#This Row],[SHL_TAR_HC]]*$AF$4+Table24[[#This Row],[SHL_TAR_NDP]]*$AF$5)/$AF$18,0)</f>
        <v>302</v>
      </c>
      <c r="AG36" s="49">
        <f>ROUND($Q$8*(Table24[[#This Row],[SHL_TAR_IDPs]]*$AG$3+Table24[[#This Row],[SHL_TAR_HC]]*$AG$4+Table24[[#This Row],[SHL_TAR_NDP]]*$AG$5)/$AG$18,0)</f>
        <v>1059</v>
      </c>
      <c r="AH36" s="49">
        <f>ROUND($Q$8*(Table24[[#This Row],[SHL_TAR_IDPs]]*$AH$3+Table24[[#This Row],[SHL_TAR_HC]]*$AH$4+Table24[[#This Row],[SHL_TAR_NDP]]*$AH$5)/$AH$18,0)</f>
        <v>0</v>
      </c>
      <c r="AI36" s="49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>76</v>
      </c>
    </row>
    <row r="37" spans="1:35" ht="14.4" customHeight="1" x14ac:dyDescent="0.55000000000000004">
      <c r="A37" t="s">
        <v>442</v>
      </c>
      <c r="B37" t="s">
        <v>69</v>
      </c>
      <c r="C37" t="s">
        <v>259</v>
      </c>
      <c r="D37" s="58">
        <f>_xlfn.XLOOKUP($B37, 'Prioritization calculation'!D:D, 'Prioritization calculation'!X:X, "")</f>
        <v>3</v>
      </c>
      <c r="E37" s="58">
        <v>3</v>
      </c>
      <c r="F37" s="58">
        <v>3</v>
      </c>
      <c r="G37" s="58" t="s">
        <v>521</v>
      </c>
      <c r="H37" s="58">
        <v>34329</v>
      </c>
      <c r="I37" s="58">
        <v>0</v>
      </c>
      <c r="J37" s="58">
        <v>0</v>
      </c>
      <c r="K37" s="58"/>
      <c r="L37" s="58">
        <v>24895</v>
      </c>
      <c r="M37" s="58">
        <v>22651</v>
      </c>
      <c r="N37" s="58">
        <v>0</v>
      </c>
      <c r="O37" s="97">
        <f>SUM(Table24[[#This Row],[SHL_PIN_IDPs]:[SHL_PIN_NDP]])</f>
        <v>25821</v>
      </c>
      <c r="P37" s="98">
        <v>17212</v>
      </c>
      <c r="Q37" s="98">
        <v>8609</v>
      </c>
      <c r="R37" s="98">
        <v>0</v>
      </c>
      <c r="S37" s="98">
        <f>ROUND(SUM(Table24[[#This Row],[SHL_TAR_IDPs]:[SHL_TAR_NDP]]),0)</f>
        <v>4820</v>
      </c>
      <c r="T37" s="48">
        <f>SUM(Table24[[#This Row],[HIDE IDP]:[HIDE NDP]])</f>
        <v>4819.6000000000004</v>
      </c>
      <c r="U37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3442</v>
      </c>
      <c r="V37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1377.6000000000001</v>
      </c>
      <c r="W37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0</v>
      </c>
      <c r="X37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3442</v>
      </c>
      <c r="Y37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1377.6000000000001</v>
      </c>
      <c r="Z37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37" s="49">
        <f>ROUND($P$8*(Table24[[#This Row],[SHL_TAR_IDPs]]*$AA$3+Table24[[#This Row],[SHL_TAR_HC]]*$AA$4+Table24[[#This Row],[SHL_TAR_NDP]]*$AA$5)/$AA$18,0)</f>
        <v>410</v>
      </c>
      <c r="AB37" s="49">
        <f>ROUND($P$8*(Table24[[#This Row],[SHL_TAR_IDPs]]*$AB$3+Table24[[#This Row],[SHL_TAR_HC]]*$AB$4+Table24[[#This Row],[SHL_TAR_NDP]]*$AB$5)/$AB$18,0)</f>
        <v>410</v>
      </c>
      <c r="AC37" s="49">
        <f>ROUND($Q$8*(Table24[[#This Row],[SHL_TAR_IDPs]]*$AC$3+Table24[[#This Row],[SHL_TAR_HC]]*$AC$4+Table24[[#This Row],[SHL_TAR_NDP]]*$AC$5)/$AC$18,0)</f>
        <v>34</v>
      </c>
      <c r="AD37" s="49">
        <f>ROUND($Q$8*(Table24[[#This Row],[SHL_TAR_IDPs]]*$AD$3+Table24[[#This Row],[SHL_TAR_HC]]*$AD$4+Table24[[#This Row],[SHL_TAR_NDP]]*$AD$5)/$AD$18,0)</f>
        <v>34</v>
      </c>
      <c r="AE37" s="49">
        <f>ROUND($Q$8*(Table24[[#This Row],[SHL_TAR_IDPs]]*$AE$3+Table24[[#This Row],[SHL_TAR_HC]]*$AE$4+Table24[[#This Row],[SHL_TAR_NDP]]*$AE$5)/$AE$18,0)</f>
        <v>48</v>
      </c>
      <c r="AF37" s="49">
        <f>ROUND($Q$8*(Table24[[#This Row],[SHL_TAR_IDPs]]*$AF$3+Table24[[#This Row],[SHL_TAR_HC]]*$AF$4+Table24[[#This Row],[SHL_TAR_NDP]]*$AF$5)/$AF$18,0)</f>
        <v>96</v>
      </c>
      <c r="AG37" s="49">
        <f>ROUND($Q$8*(Table24[[#This Row],[SHL_TAR_IDPs]]*$AG$3+Table24[[#This Row],[SHL_TAR_HC]]*$AG$4+Table24[[#This Row],[SHL_TAR_NDP]]*$AG$5)/$AG$18,0)</f>
        <v>186</v>
      </c>
      <c r="AH37" s="49">
        <f>ROUND($Q$8*(Table24[[#This Row],[SHL_TAR_IDPs]]*$AH$3+Table24[[#This Row],[SHL_TAR_HC]]*$AH$4+Table24[[#This Row],[SHL_TAR_NDP]]*$AH$5)/$AH$18,0)</f>
        <v>83</v>
      </c>
      <c r="AI37" s="49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>41</v>
      </c>
    </row>
    <row r="38" spans="1:35" ht="14.4" customHeight="1" x14ac:dyDescent="0.55000000000000004">
      <c r="A38" t="s">
        <v>443</v>
      </c>
      <c r="B38" t="s">
        <v>70</v>
      </c>
      <c r="C38" t="s">
        <v>260</v>
      </c>
      <c r="D38" s="58">
        <f>_xlfn.XLOOKUP($B38, 'Prioritization calculation'!D:D, 'Prioritization calculation'!X:X, "")</f>
        <v>2</v>
      </c>
      <c r="E38" s="58">
        <v>3</v>
      </c>
      <c r="F38" s="58">
        <v>4</v>
      </c>
      <c r="G38" s="58" t="s">
        <v>573</v>
      </c>
      <c r="H38" s="58">
        <v>260</v>
      </c>
      <c r="I38" s="58">
        <v>5</v>
      </c>
      <c r="J38" s="58">
        <v>5</v>
      </c>
      <c r="K38" s="58"/>
      <c r="L38" s="58">
        <v>0</v>
      </c>
      <c r="M38" s="58">
        <v>6731</v>
      </c>
      <c r="N38" s="58">
        <v>2468.2604195042227</v>
      </c>
      <c r="O38" s="97">
        <f>SUM(Table24[[#This Row],[SHL_PIN_IDPs]:[SHL_PIN_NDP]])</f>
        <v>23260</v>
      </c>
      <c r="P38" s="98">
        <v>7646</v>
      </c>
      <c r="Q38" s="98">
        <v>3823</v>
      </c>
      <c r="R38" s="98">
        <v>11791</v>
      </c>
      <c r="S38" s="98">
        <f>ROUND(SUM(Table24[[#This Row],[SHL_TAR_IDPs]:[SHL_TAR_NDP]]),0)</f>
        <v>6639</v>
      </c>
      <c r="T38" s="48">
        <f>SUM(Table24[[#This Row],[HIDE IDP]:[HIDE NDP]])</f>
        <v>6639.2</v>
      </c>
      <c r="U38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3058</v>
      </c>
      <c r="V38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1223.2</v>
      </c>
      <c r="W38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2358</v>
      </c>
      <c r="X38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3058</v>
      </c>
      <c r="Y38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1223.2</v>
      </c>
      <c r="Z38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2358</v>
      </c>
      <c r="AA38" s="49">
        <f>ROUND($P$8*(Table24[[#This Row],[SHL_TAR_IDPs]]*$AA$3+Table24[[#This Row],[SHL_TAR_HC]]*$AA$4+Table24[[#This Row],[SHL_TAR_NDP]]*$AA$5)/$AA$18,0)</f>
        <v>564</v>
      </c>
      <c r="AB38" s="49">
        <f>ROUND($P$8*(Table24[[#This Row],[SHL_TAR_IDPs]]*$AB$3+Table24[[#This Row],[SHL_TAR_HC]]*$AB$4+Table24[[#This Row],[SHL_TAR_NDP]]*$AB$5)/$AB$18,0)</f>
        <v>564</v>
      </c>
      <c r="AC38" s="49">
        <f>ROUND($Q$8*(Table24[[#This Row],[SHL_TAR_IDPs]]*$AC$3+Table24[[#This Row],[SHL_TAR_HC]]*$AC$4+Table24[[#This Row],[SHL_TAR_NDP]]*$AC$5)/$AC$18,0)</f>
        <v>31</v>
      </c>
      <c r="AD38" s="49">
        <f>ROUND($Q$8*(Table24[[#This Row],[SHL_TAR_IDPs]]*$AD$3+Table24[[#This Row],[SHL_TAR_HC]]*$AD$4+Table24[[#This Row],[SHL_TAR_NDP]]*$AD$5)/$AD$18,0)</f>
        <v>31</v>
      </c>
      <c r="AE38" s="49">
        <f>ROUND($Q$8*(Table24[[#This Row],[SHL_TAR_IDPs]]*$AE$3+Table24[[#This Row],[SHL_TAR_HC]]*$AE$4+Table24[[#This Row],[SHL_TAR_NDP]]*$AE$5)/$AE$18,0)</f>
        <v>66</v>
      </c>
      <c r="AF38" s="49">
        <f>ROUND($Q$8*(Table24[[#This Row],[SHL_TAR_IDPs]]*$AF$3+Table24[[#This Row],[SHL_TAR_HC]]*$AF$4+Table24[[#This Row],[SHL_TAR_NDP]]*$AF$5)/$AF$18,0)</f>
        <v>133</v>
      </c>
      <c r="AG38" s="49">
        <f>ROUND($Q$8*(Table24[[#This Row],[SHL_TAR_IDPs]]*$AG$3+Table24[[#This Row],[SHL_TAR_HC]]*$AG$4+Table24[[#This Row],[SHL_TAR_NDP]]*$AG$5)/$AG$18,0)</f>
        <v>330</v>
      </c>
      <c r="AH38" s="49">
        <f>ROUND($Q$8*(Table24[[#This Row],[SHL_TAR_IDPs]]*$AH$3+Table24[[#This Row],[SHL_TAR_HC]]*$AH$4+Table24[[#This Row],[SHL_TAR_NDP]]*$AH$5)/$AH$18,0)</f>
        <v>73</v>
      </c>
      <c r="AI38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</row>
    <row r="39" spans="1:35" ht="14.4" customHeight="1" x14ac:dyDescent="0.55000000000000004">
      <c r="A39" t="s">
        <v>443</v>
      </c>
      <c r="B39" t="s">
        <v>71</v>
      </c>
      <c r="C39" t="s">
        <v>261</v>
      </c>
      <c r="D39" s="58">
        <f>_xlfn.XLOOKUP($B39, 'Prioritization calculation'!D:D, 'Prioritization calculation'!X:X, "")</f>
        <v>1</v>
      </c>
      <c r="E39" s="58">
        <v>4</v>
      </c>
      <c r="F39" s="58">
        <v>3</v>
      </c>
      <c r="G39" s="58" t="s">
        <v>521</v>
      </c>
      <c r="H39" s="58">
        <v>15320</v>
      </c>
      <c r="I39" s="58">
        <v>19080</v>
      </c>
      <c r="J39" s="58">
        <v>5010</v>
      </c>
      <c r="K39" s="58"/>
      <c r="L39" s="58">
        <v>38165</v>
      </c>
      <c r="M39" s="58">
        <v>16447</v>
      </c>
      <c r="N39" s="58">
        <v>5509.9024163568756</v>
      </c>
      <c r="O39" s="97">
        <f>SUM(Table24[[#This Row],[SHL_PIN_IDPs]:[SHL_PIN_NDP]])</f>
        <v>36379</v>
      </c>
      <c r="P39" s="98">
        <v>19653</v>
      </c>
      <c r="Q39" s="98">
        <v>6551</v>
      </c>
      <c r="R39" s="98">
        <v>10175</v>
      </c>
      <c r="S39" s="98">
        <f>ROUND(SUM(Table24[[#This Row],[SHL_TAR_IDPs]:[SHL_TAR_NDP]]),0)</f>
        <v>23985</v>
      </c>
      <c r="T39" s="48">
        <f>SUM(Table24[[#This Row],[HIDE IDP]:[HIDE NDP]])</f>
        <v>23984.799999999999</v>
      </c>
      <c r="U39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15722</v>
      </c>
      <c r="V39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4192.8</v>
      </c>
      <c r="W39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4070</v>
      </c>
      <c r="X39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15722</v>
      </c>
      <c r="Y39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4192.8</v>
      </c>
      <c r="Z39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4070</v>
      </c>
      <c r="AA39" s="49">
        <f>ROUND($P$8*(Table24[[#This Row],[SHL_TAR_IDPs]]*$AA$3+Table24[[#This Row],[SHL_TAR_HC]]*$AA$4+Table24[[#This Row],[SHL_TAR_NDP]]*$AA$5)/$AA$18,0)</f>
        <v>2039</v>
      </c>
      <c r="AB39" s="49">
        <f>ROUND($P$8*(Table24[[#This Row],[SHL_TAR_IDPs]]*$AB$3+Table24[[#This Row],[SHL_TAR_HC]]*$AB$4+Table24[[#This Row],[SHL_TAR_NDP]]*$AB$5)/$AB$18,0)</f>
        <v>2039</v>
      </c>
      <c r="AC39" s="49">
        <f>ROUND($Q$8*(Table24[[#This Row],[SHL_TAR_IDPs]]*$AC$3+Table24[[#This Row],[SHL_TAR_HC]]*$AC$4+Table24[[#This Row],[SHL_TAR_NDP]]*$AC$5)/$AC$18,0)</f>
        <v>157</v>
      </c>
      <c r="AD39" s="49">
        <f>ROUND($Q$8*(Table24[[#This Row],[SHL_TAR_IDPs]]*$AD$3+Table24[[#This Row],[SHL_TAR_HC]]*$AD$4+Table24[[#This Row],[SHL_TAR_NDP]]*$AD$5)/$AD$18,0)</f>
        <v>157</v>
      </c>
      <c r="AE39" s="49">
        <f>ROUND($Q$8*(Table24[[#This Row],[SHL_TAR_IDPs]]*$AE$3+Table24[[#This Row],[SHL_TAR_HC]]*$AE$4+Table24[[#This Row],[SHL_TAR_NDP]]*$AE$5)/$AE$18,0)</f>
        <v>240</v>
      </c>
      <c r="AF39" s="49">
        <f>ROUND($Q$8*(Table24[[#This Row],[SHL_TAR_IDPs]]*$AF$3+Table24[[#This Row],[SHL_TAR_HC]]*$AF$4+Table24[[#This Row],[SHL_TAR_NDP]]*$AF$5)/$AF$18,0)</f>
        <v>480</v>
      </c>
      <c r="AG39" s="49">
        <f>ROUND($Q$8*(Table24[[#This Row],[SHL_TAR_IDPs]]*$AG$3+Table24[[#This Row],[SHL_TAR_HC]]*$AG$4+Table24[[#This Row],[SHL_TAR_NDP]]*$AG$5)/$AG$18,0)</f>
        <v>1008</v>
      </c>
      <c r="AH39" s="49">
        <f>ROUND($Q$8*(Table24[[#This Row],[SHL_TAR_IDPs]]*$AH$3+Table24[[#This Row],[SHL_TAR_HC]]*$AH$4+Table24[[#This Row],[SHL_TAR_NDP]]*$AH$5)/$AH$18,0)</f>
        <v>356</v>
      </c>
      <c r="AI39" s="49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>199</v>
      </c>
    </row>
    <row r="40" spans="1:35" ht="14.4" customHeight="1" x14ac:dyDescent="0.55000000000000004">
      <c r="A40" t="s">
        <v>443</v>
      </c>
      <c r="B40" t="s">
        <v>72</v>
      </c>
      <c r="C40" t="s">
        <v>262</v>
      </c>
      <c r="D40" s="58">
        <f>_xlfn.XLOOKUP($B40, 'Prioritization calculation'!D:D, 'Prioritization calculation'!X:X, "")</f>
        <v>1</v>
      </c>
      <c r="E40" s="58">
        <v>3</v>
      </c>
      <c r="F40" s="58">
        <v>3</v>
      </c>
      <c r="G40" s="58" t="s">
        <v>521</v>
      </c>
      <c r="H40" s="58">
        <v>815</v>
      </c>
      <c r="I40" s="58">
        <v>4250</v>
      </c>
      <c r="J40" s="58">
        <v>4250</v>
      </c>
      <c r="K40" s="58"/>
      <c r="L40" s="58">
        <v>7500</v>
      </c>
      <c r="M40" s="58">
        <v>0</v>
      </c>
      <c r="N40" s="58">
        <v>7636.0910973084883</v>
      </c>
      <c r="O40" s="97">
        <f>SUM(Table24[[#This Row],[SHL_PIN_IDPs]:[SHL_PIN_NDP]])</f>
        <v>13548</v>
      </c>
      <c r="P40" s="98">
        <v>6701</v>
      </c>
      <c r="Q40" s="98">
        <v>3350</v>
      </c>
      <c r="R40" s="98">
        <v>3497</v>
      </c>
      <c r="S40" s="98">
        <f>ROUND(SUM(Table24[[#This Row],[SHL_TAR_IDPs]:[SHL_TAR_NDP]]),0)</f>
        <v>6678</v>
      </c>
      <c r="T40" s="48">
        <f>SUM(Table24[[#This Row],[HIDE IDP]:[HIDE NDP]])</f>
        <v>6678</v>
      </c>
      <c r="U40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4021</v>
      </c>
      <c r="V40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1608</v>
      </c>
      <c r="W40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1049</v>
      </c>
      <c r="X40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4021</v>
      </c>
      <c r="Y40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1608</v>
      </c>
      <c r="Z40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1049</v>
      </c>
      <c r="AA40" s="49">
        <f>ROUND($P$8*(Table24[[#This Row],[SHL_TAR_IDPs]]*$AA$3+Table24[[#This Row],[SHL_TAR_HC]]*$AA$4+Table24[[#This Row],[SHL_TAR_NDP]]*$AA$5)/$AA$18,0)</f>
        <v>568</v>
      </c>
      <c r="AB40" s="49">
        <f>ROUND($P$8*(Table24[[#This Row],[SHL_TAR_IDPs]]*$AB$3+Table24[[#This Row],[SHL_TAR_HC]]*$AB$4+Table24[[#This Row],[SHL_TAR_NDP]]*$AB$5)/$AB$18,0)</f>
        <v>568</v>
      </c>
      <c r="AC40" s="49">
        <f>ROUND($Q$8*(Table24[[#This Row],[SHL_TAR_IDPs]]*$AC$3+Table24[[#This Row],[SHL_TAR_HC]]*$AC$4+Table24[[#This Row],[SHL_TAR_NDP]]*$AC$5)/$AC$18,0)</f>
        <v>40</v>
      </c>
      <c r="AD40" s="49">
        <f>ROUND($Q$8*(Table24[[#This Row],[SHL_TAR_IDPs]]*$AD$3+Table24[[#This Row],[SHL_TAR_HC]]*$AD$4+Table24[[#This Row],[SHL_TAR_NDP]]*$AD$5)/$AD$18,0)</f>
        <v>40</v>
      </c>
      <c r="AE40" s="49">
        <f>ROUND($Q$8*(Table24[[#This Row],[SHL_TAR_IDPs]]*$AE$3+Table24[[#This Row],[SHL_TAR_HC]]*$AE$4+Table24[[#This Row],[SHL_TAR_NDP]]*$AE$5)/$AE$18,0)</f>
        <v>67</v>
      </c>
      <c r="AF40" s="49">
        <f>ROUND($Q$8*(Table24[[#This Row],[SHL_TAR_IDPs]]*$AF$3+Table24[[#This Row],[SHL_TAR_HC]]*$AF$4+Table24[[#This Row],[SHL_TAR_NDP]]*$AF$5)/$AF$18,0)</f>
        <v>134</v>
      </c>
      <c r="AG40" s="49">
        <f>ROUND($Q$8*(Table24[[#This Row],[SHL_TAR_IDPs]]*$AG$3+Table24[[#This Row],[SHL_TAR_HC]]*$AG$4+Table24[[#This Row],[SHL_TAR_NDP]]*$AG$5)/$AG$18,0)</f>
        <v>291</v>
      </c>
      <c r="AH40" s="49">
        <f>ROUND($Q$8*(Table24[[#This Row],[SHL_TAR_IDPs]]*$AH$3+Table24[[#This Row],[SHL_TAR_HC]]*$AH$4+Table24[[#This Row],[SHL_TAR_NDP]]*$AH$5)/$AH$18,0)</f>
        <v>97</v>
      </c>
      <c r="AI40" s="49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>53</v>
      </c>
    </row>
    <row r="41" spans="1:35" ht="14.4" customHeight="1" x14ac:dyDescent="0.55000000000000004">
      <c r="A41" t="s">
        <v>443</v>
      </c>
      <c r="B41" t="s">
        <v>73</v>
      </c>
      <c r="C41" t="s">
        <v>263</v>
      </c>
      <c r="D41" s="58">
        <f>_xlfn.XLOOKUP($B41, 'Prioritization calculation'!D:D, 'Prioritization calculation'!X:X, "")</f>
        <v>2</v>
      </c>
      <c r="E41" s="58">
        <v>3</v>
      </c>
      <c r="F41" s="58">
        <v>3</v>
      </c>
      <c r="G41" s="58" t="s">
        <v>573</v>
      </c>
      <c r="H41" s="58">
        <v>0</v>
      </c>
      <c r="I41" s="58">
        <v>6375</v>
      </c>
      <c r="J41" s="58">
        <v>6375</v>
      </c>
      <c r="K41" s="58"/>
      <c r="L41" s="58">
        <v>4860</v>
      </c>
      <c r="M41" s="58">
        <v>0</v>
      </c>
      <c r="N41" s="58">
        <v>16341.292315419389</v>
      </c>
      <c r="O41" s="97">
        <f>SUM(Table24[[#This Row],[SHL_PIN_IDPs]:[SHL_PIN_NDP]])</f>
        <v>29783</v>
      </c>
      <c r="P41" s="98">
        <v>16502</v>
      </c>
      <c r="Q41" s="98">
        <v>8251</v>
      </c>
      <c r="R41" s="98">
        <v>5030</v>
      </c>
      <c r="S41" s="98">
        <f>ROUND(SUM(Table24[[#This Row],[SHL_TAR_IDPs]:[SHL_TAR_NDP]]),0)</f>
        <v>10247</v>
      </c>
      <c r="T41" s="48">
        <f>SUM(Table24[[#This Row],[HIDE IDP]:[HIDE NDP]])</f>
        <v>10247</v>
      </c>
      <c r="U41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6601</v>
      </c>
      <c r="V41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2640</v>
      </c>
      <c r="W41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1006</v>
      </c>
      <c r="X41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6601</v>
      </c>
      <c r="Y41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2640</v>
      </c>
      <c r="Z41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1006</v>
      </c>
      <c r="AA41" s="49">
        <f>ROUND($P$8*(Table24[[#This Row],[SHL_TAR_IDPs]]*$AA$3+Table24[[#This Row],[SHL_TAR_HC]]*$AA$4+Table24[[#This Row],[SHL_TAR_NDP]]*$AA$5)/$AA$18,0)</f>
        <v>871</v>
      </c>
      <c r="AB41" s="49">
        <f>ROUND($P$8*(Table24[[#This Row],[SHL_TAR_IDPs]]*$AB$3+Table24[[#This Row],[SHL_TAR_HC]]*$AB$4+Table24[[#This Row],[SHL_TAR_NDP]]*$AB$5)/$AB$18,0)</f>
        <v>871</v>
      </c>
      <c r="AC41" s="49">
        <f>ROUND($Q$8*(Table24[[#This Row],[SHL_TAR_IDPs]]*$AC$3+Table24[[#This Row],[SHL_TAR_HC]]*$AC$4+Table24[[#This Row],[SHL_TAR_NDP]]*$AC$5)/$AC$18,0)</f>
        <v>66</v>
      </c>
      <c r="AD41" s="49">
        <f>ROUND($Q$8*(Table24[[#This Row],[SHL_TAR_IDPs]]*$AD$3+Table24[[#This Row],[SHL_TAR_HC]]*$AD$4+Table24[[#This Row],[SHL_TAR_NDP]]*$AD$5)/$AD$18,0)</f>
        <v>66</v>
      </c>
      <c r="AE41" s="49">
        <f>ROUND($Q$8*(Table24[[#This Row],[SHL_TAR_IDPs]]*$AE$3+Table24[[#This Row],[SHL_TAR_HC]]*$AE$4+Table24[[#This Row],[SHL_TAR_NDP]]*$AE$5)/$AE$18,0)</f>
        <v>102</v>
      </c>
      <c r="AF41" s="49">
        <f>ROUND($Q$8*(Table24[[#This Row],[SHL_TAR_IDPs]]*$AF$3+Table24[[#This Row],[SHL_TAR_HC]]*$AF$4+Table24[[#This Row],[SHL_TAR_NDP]]*$AF$5)/$AF$18,0)</f>
        <v>205</v>
      </c>
      <c r="AG41" s="49">
        <f>ROUND($Q$8*(Table24[[#This Row],[SHL_TAR_IDPs]]*$AG$3+Table24[[#This Row],[SHL_TAR_HC]]*$AG$4+Table24[[#This Row],[SHL_TAR_NDP]]*$AG$5)/$AG$18,0)</f>
        <v>427</v>
      </c>
      <c r="AH41" s="49">
        <f>ROUND($Q$8*(Table24[[#This Row],[SHL_TAR_IDPs]]*$AH$3+Table24[[#This Row],[SHL_TAR_HC]]*$AH$4+Table24[[#This Row],[SHL_TAR_NDP]]*$AH$5)/$AH$18,0)</f>
        <v>158</v>
      </c>
      <c r="AI41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</row>
    <row r="42" spans="1:35" ht="14.4" customHeight="1" x14ac:dyDescent="0.55000000000000004">
      <c r="A42" t="s">
        <v>443</v>
      </c>
      <c r="B42" t="s">
        <v>74</v>
      </c>
      <c r="C42" t="s">
        <v>264</v>
      </c>
      <c r="D42" s="58">
        <f>_xlfn.XLOOKUP($B42, 'Prioritization calculation'!D:D, 'Prioritization calculation'!X:X, "")</f>
        <v>1</v>
      </c>
      <c r="E42" s="58">
        <v>3</v>
      </c>
      <c r="F42" s="58">
        <v>3</v>
      </c>
      <c r="G42" s="58" t="s">
        <v>521</v>
      </c>
      <c r="H42" s="58">
        <v>33084</v>
      </c>
      <c r="I42" s="58">
        <v>14530</v>
      </c>
      <c r="J42" s="58">
        <v>10705</v>
      </c>
      <c r="K42" s="58"/>
      <c r="L42" s="58">
        <v>20050</v>
      </c>
      <c r="M42" s="58">
        <v>0</v>
      </c>
      <c r="N42" s="58">
        <v>6993.5857216761506</v>
      </c>
      <c r="O42" s="97">
        <f>SUM(Table24[[#This Row],[SHL_PIN_IDPs]:[SHL_PIN_NDP]])</f>
        <v>37266</v>
      </c>
      <c r="P42" s="98">
        <v>19714</v>
      </c>
      <c r="Q42" s="98">
        <v>9969</v>
      </c>
      <c r="R42" s="98">
        <v>7583</v>
      </c>
      <c r="S42" s="98">
        <f>ROUND(SUM(Table24[[#This Row],[SHL_TAR_IDPs]:[SHL_TAR_NDP]]),0)</f>
        <v>18888</v>
      </c>
      <c r="T42" s="48">
        <f>SUM(Table24[[#This Row],[HIDE IDP]:[HIDE NDP]])</f>
        <v>18887.8</v>
      </c>
      <c r="U42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11828</v>
      </c>
      <c r="V42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4784.8</v>
      </c>
      <c r="W42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2275</v>
      </c>
      <c r="X42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11828</v>
      </c>
      <c r="Y42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4784.8</v>
      </c>
      <c r="Z42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2275</v>
      </c>
      <c r="AA42" s="49">
        <f>ROUND($P$8*(Table24[[#This Row],[SHL_TAR_IDPs]]*$AA$3+Table24[[#This Row],[SHL_TAR_HC]]*$AA$4+Table24[[#This Row],[SHL_TAR_NDP]]*$AA$5)/$AA$18,0)</f>
        <v>1605</v>
      </c>
      <c r="AB42" s="49">
        <f>ROUND($P$8*(Table24[[#This Row],[SHL_TAR_IDPs]]*$AB$3+Table24[[#This Row],[SHL_TAR_HC]]*$AB$4+Table24[[#This Row],[SHL_TAR_NDP]]*$AB$5)/$AB$18,0)</f>
        <v>1605</v>
      </c>
      <c r="AC42" s="49">
        <f>ROUND($Q$8*(Table24[[#This Row],[SHL_TAR_IDPs]]*$AC$3+Table24[[#This Row],[SHL_TAR_HC]]*$AC$4+Table24[[#This Row],[SHL_TAR_NDP]]*$AC$5)/$AC$18,0)</f>
        <v>118</v>
      </c>
      <c r="AD42" s="49">
        <f>ROUND($Q$8*(Table24[[#This Row],[SHL_TAR_IDPs]]*$AD$3+Table24[[#This Row],[SHL_TAR_HC]]*$AD$4+Table24[[#This Row],[SHL_TAR_NDP]]*$AD$5)/$AD$18,0)</f>
        <v>118</v>
      </c>
      <c r="AE42" s="49">
        <f>ROUND($Q$8*(Table24[[#This Row],[SHL_TAR_IDPs]]*$AE$3+Table24[[#This Row],[SHL_TAR_HC]]*$AE$4+Table24[[#This Row],[SHL_TAR_NDP]]*$AE$5)/$AE$18,0)</f>
        <v>189</v>
      </c>
      <c r="AF42" s="49">
        <f>ROUND($Q$8*(Table24[[#This Row],[SHL_TAR_IDPs]]*$AF$3+Table24[[#This Row],[SHL_TAR_HC]]*$AF$4+Table24[[#This Row],[SHL_TAR_NDP]]*$AF$5)/$AF$18,0)</f>
        <v>378</v>
      </c>
      <c r="AG42" s="49">
        <f>ROUND($Q$8*(Table24[[#This Row],[SHL_TAR_IDPs]]*$AG$3+Table24[[#This Row],[SHL_TAR_HC]]*$AG$4+Table24[[#This Row],[SHL_TAR_NDP]]*$AG$5)/$AG$18,0)</f>
        <v>801</v>
      </c>
      <c r="AH42" s="49">
        <f>ROUND($Q$8*(Table24[[#This Row],[SHL_TAR_IDPs]]*$AH$3+Table24[[#This Row],[SHL_TAR_HC]]*$AH$4+Table24[[#This Row],[SHL_TAR_NDP]]*$AH$5)/$AH$18,0)</f>
        <v>284</v>
      </c>
      <c r="AI42" s="49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>154</v>
      </c>
    </row>
    <row r="43" spans="1:35" x14ac:dyDescent="0.55000000000000004">
      <c r="A43" t="s">
        <v>443</v>
      </c>
      <c r="B43" t="s">
        <v>75</v>
      </c>
      <c r="C43" t="s">
        <v>265</v>
      </c>
      <c r="D43" s="58">
        <f>_xlfn.XLOOKUP($B43, 'Prioritization calculation'!D:D, 'Prioritization calculation'!X:X, "")</f>
        <v>3</v>
      </c>
      <c r="E43" s="58">
        <v>3</v>
      </c>
      <c r="F43" s="58">
        <v>4</v>
      </c>
      <c r="G43" s="58" t="s">
        <v>573</v>
      </c>
      <c r="H43" s="58">
        <v>740</v>
      </c>
      <c r="I43" s="58">
        <v>0</v>
      </c>
      <c r="J43" s="58">
        <v>0</v>
      </c>
      <c r="K43" s="58"/>
      <c r="L43" s="58">
        <v>6475</v>
      </c>
      <c r="M43" s="58">
        <v>13628</v>
      </c>
      <c r="N43" s="58">
        <v>1000.203977562468</v>
      </c>
      <c r="O43" s="97">
        <f>SUM(Table24[[#This Row],[SHL_PIN_IDPs]:[SHL_PIN_NDP]])</f>
        <v>21065</v>
      </c>
      <c r="P43" s="98">
        <v>11768</v>
      </c>
      <c r="Q43" s="98">
        <v>5884</v>
      </c>
      <c r="R43" s="98">
        <v>3413</v>
      </c>
      <c r="S43" s="98">
        <f>ROUND(SUM(Table24[[#This Row],[SHL_TAR_IDPs]:[SHL_TAR_NDP]]),0)</f>
        <v>0</v>
      </c>
      <c r="T43" s="100">
        <f>SUM(Table24[[#This Row],[HIDE IDP]:[HIDE NDP]])</f>
        <v>3637.1</v>
      </c>
      <c r="U43" s="100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2354</v>
      </c>
      <c r="V43" s="100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941.6</v>
      </c>
      <c r="W43" s="100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341.5</v>
      </c>
      <c r="X43" s="98">
        <f>100000*AK43</f>
        <v>0</v>
      </c>
      <c r="Y43" s="9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0</v>
      </c>
      <c r="Z43" s="9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43" s="49">
        <f>ROUND($P$8*(Table24[[#This Row],[SHL_TAR_IDPs]]*$AA$3+Table24[[#This Row],[SHL_TAR_HC]]*$AA$4+Table24[[#This Row],[SHL_TAR_NDP]]*$AA$5)/$AA$18,0)</f>
        <v>0</v>
      </c>
      <c r="AB43" s="49">
        <f>ROUND($P$8*(Table24[[#This Row],[SHL_TAR_IDPs]]*$AB$3+Table24[[#This Row],[SHL_TAR_HC]]*$AB$4+Table24[[#This Row],[SHL_TAR_NDP]]*$AB$5)/$AB$18,0)</f>
        <v>0</v>
      </c>
      <c r="AC43" s="49">
        <f>ROUND($Q$8*(Table24[[#This Row],[SHL_TAR_IDPs]]*$AC$3+Table24[[#This Row],[SHL_TAR_HC]]*$AC$4+Table24[[#This Row],[SHL_TAR_NDP]]*$AC$5)/$AC$18,0)</f>
        <v>0</v>
      </c>
      <c r="AD43" s="49">
        <f>ROUND($Q$8*(Table24[[#This Row],[SHL_TAR_IDPs]]*$AD$3+Table24[[#This Row],[SHL_TAR_HC]]*$AD$4+Table24[[#This Row],[SHL_TAR_NDP]]*$AD$5)/$AD$18,0)</f>
        <v>0</v>
      </c>
      <c r="AE43" s="49">
        <f>ROUND($Q$8*(Table24[[#This Row],[SHL_TAR_IDPs]]*$AE$3+Table24[[#This Row],[SHL_TAR_HC]]*$AE$4+Table24[[#This Row],[SHL_TAR_NDP]]*$AE$5)/$AE$18,0)</f>
        <v>0</v>
      </c>
      <c r="AF43" s="49">
        <f>ROUND($Q$8*(Table24[[#This Row],[SHL_TAR_IDPs]]*$AF$3+Table24[[#This Row],[SHL_TAR_HC]]*$AF$4+Table24[[#This Row],[SHL_TAR_NDP]]*$AF$5)/$AF$18,0)</f>
        <v>0</v>
      </c>
      <c r="AG43" s="49">
        <f>ROUND($Q$8*(Table24[[#This Row],[SHL_TAR_IDPs]]*$AG$3+Table24[[#This Row],[SHL_TAR_HC]]*$AG$4+Table24[[#This Row],[SHL_TAR_NDP]]*$AG$5)/$AG$18,0)</f>
        <v>0</v>
      </c>
      <c r="AH43" s="49">
        <f>ROUND($Q$8*(Table24[[#This Row],[SHL_TAR_IDPs]]*$AH$3+Table24[[#This Row],[SHL_TAR_HC]]*$AH$4+Table24[[#This Row],[SHL_TAR_NDP]]*$AH$5)/$AH$18,0)</f>
        <v>0</v>
      </c>
      <c r="AI43" s="49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>0</v>
      </c>
    </row>
    <row r="44" spans="1:35" ht="14.4" customHeight="1" x14ac:dyDescent="0.55000000000000004">
      <c r="A44" t="s">
        <v>443</v>
      </c>
      <c r="B44" t="s">
        <v>76</v>
      </c>
      <c r="C44" t="s">
        <v>266</v>
      </c>
      <c r="D44" s="58">
        <f>_xlfn.XLOOKUP($B44, 'Prioritization calculation'!D:D, 'Prioritization calculation'!X:X, "")</f>
        <v>1</v>
      </c>
      <c r="E44" s="58">
        <v>4</v>
      </c>
      <c r="F44" s="58">
        <v>5</v>
      </c>
      <c r="G44" s="58" t="s">
        <v>521</v>
      </c>
      <c r="H44" s="58">
        <v>960</v>
      </c>
      <c r="I44" s="58">
        <v>18090</v>
      </c>
      <c r="J44" s="58">
        <v>0</v>
      </c>
      <c r="K44" s="58">
        <v>2335</v>
      </c>
      <c r="L44" s="58">
        <v>9575</v>
      </c>
      <c r="M44" s="58">
        <v>5094</v>
      </c>
      <c r="N44" s="58">
        <v>429.37384196185286</v>
      </c>
      <c r="O44" s="97">
        <f>SUM(Table24[[#This Row],[SHL_PIN_IDPs]:[SHL_PIN_NDP]])</f>
        <v>12986</v>
      </c>
      <c r="P44" s="98">
        <v>3120</v>
      </c>
      <c r="Q44" s="98">
        <v>4068</v>
      </c>
      <c r="R44" s="98">
        <v>5798</v>
      </c>
      <c r="S44" s="98">
        <f>ROUND(SUM(Table24[[#This Row],[SHL_TAR_IDPs]:[SHL_TAR_NDP]]),0)</f>
        <v>7418</v>
      </c>
      <c r="T44" s="48">
        <f>SUM(Table24[[#This Row],[HIDE IDP]:[HIDE NDP]])</f>
        <v>7418.2000000000007</v>
      </c>
      <c r="U44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2496</v>
      </c>
      <c r="V44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2603.2000000000003</v>
      </c>
      <c r="W44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2319</v>
      </c>
      <c r="X44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2496</v>
      </c>
      <c r="Y44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2603.2000000000003</v>
      </c>
      <c r="Z44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2319</v>
      </c>
      <c r="AA44" s="49">
        <f>ROUND($P$8*(Table24[[#This Row],[SHL_TAR_IDPs]]*$AA$3+Table24[[#This Row],[SHL_TAR_HC]]*$AA$4+Table24[[#This Row],[SHL_TAR_NDP]]*$AA$5)/$AA$18,0)</f>
        <v>631</v>
      </c>
      <c r="AB44" s="49">
        <f>ROUND($P$8*(Table24[[#This Row],[SHL_TAR_IDPs]]*$AB$3+Table24[[#This Row],[SHL_TAR_HC]]*$AB$4+Table24[[#This Row],[SHL_TAR_NDP]]*$AB$5)/$AB$18,0)</f>
        <v>631</v>
      </c>
      <c r="AC44" s="49">
        <f>ROUND($Q$8*(Table24[[#This Row],[SHL_TAR_IDPs]]*$AC$3+Table24[[#This Row],[SHL_TAR_HC]]*$AC$4+Table24[[#This Row],[SHL_TAR_NDP]]*$AC$5)/$AC$18,0)</f>
        <v>25</v>
      </c>
      <c r="AD44" s="49">
        <f>ROUND($Q$8*(Table24[[#This Row],[SHL_TAR_IDPs]]*$AD$3+Table24[[#This Row],[SHL_TAR_HC]]*$AD$4+Table24[[#This Row],[SHL_TAR_NDP]]*$AD$5)/$AD$18,0)</f>
        <v>25</v>
      </c>
      <c r="AE44" s="49">
        <f>ROUND($Q$8*(Table24[[#This Row],[SHL_TAR_IDPs]]*$AE$3+Table24[[#This Row],[SHL_TAR_HC]]*$AE$4+Table24[[#This Row],[SHL_TAR_NDP]]*$AE$5)/$AE$18,0)</f>
        <v>74</v>
      </c>
      <c r="AF44" s="49">
        <f>ROUND($Q$8*(Table24[[#This Row],[SHL_TAR_IDPs]]*$AF$3+Table24[[#This Row],[SHL_TAR_HC]]*$AF$4+Table24[[#This Row],[SHL_TAR_NDP]]*$AF$5)/$AF$18,0)</f>
        <v>148</v>
      </c>
      <c r="AG44" s="49">
        <f>ROUND($Q$8*(Table24[[#This Row],[SHL_TAR_IDPs]]*$AG$3+Table24[[#This Row],[SHL_TAR_HC]]*$AG$4+Table24[[#This Row],[SHL_TAR_NDP]]*$AG$5)/$AG$18,0)</f>
        <v>393</v>
      </c>
      <c r="AH44" s="49">
        <f>ROUND($Q$8*(Table24[[#This Row],[SHL_TAR_IDPs]]*$AH$3+Table24[[#This Row],[SHL_TAR_HC]]*$AH$4+Table24[[#This Row],[SHL_TAR_NDP]]*$AH$5)/$AH$18,0)</f>
        <v>76</v>
      </c>
      <c r="AI44" s="49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>50</v>
      </c>
    </row>
    <row r="45" spans="1:35" ht="14.4" customHeight="1" x14ac:dyDescent="0.55000000000000004">
      <c r="A45" t="s">
        <v>444</v>
      </c>
      <c r="B45" t="s">
        <v>77</v>
      </c>
      <c r="C45" t="s">
        <v>267</v>
      </c>
      <c r="D45" s="58">
        <f>_xlfn.XLOOKUP($B45, 'Prioritization calculation'!D:D, 'Prioritization calculation'!X:X, "")</f>
        <v>2</v>
      </c>
      <c r="E45" s="58">
        <v>4</v>
      </c>
      <c r="F45" s="58">
        <v>4</v>
      </c>
      <c r="G45" s="58" t="s">
        <v>573</v>
      </c>
      <c r="H45" s="58">
        <v>49000</v>
      </c>
      <c r="I45" s="58">
        <v>13265</v>
      </c>
      <c r="J45" s="58">
        <v>0</v>
      </c>
      <c r="K45" s="58"/>
      <c r="L45" s="58">
        <v>6054</v>
      </c>
      <c r="M45" s="58">
        <v>58013</v>
      </c>
      <c r="N45" s="58">
        <v>37950</v>
      </c>
      <c r="O45" s="97">
        <f>SUM(Table24[[#This Row],[SHL_PIN_IDPs]:[SHL_PIN_NDP]])</f>
        <v>59492</v>
      </c>
      <c r="P45" s="98">
        <v>45540</v>
      </c>
      <c r="Q45" s="98">
        <v>13952</v>
      </c>
      <c r="R45" s="98">
        <v>0</v>
      </c>
      <c r="S45" s="98">
        <f>ROUND(SUM(Table24[[#This Row],[SHL_TAR_IDPs]:[SHL_TAR_NDP]]),0)</f>
        <v>34021</v>
      </c>
      <c r="T45" s="48">
        <f>SUM(Table24[[#This Row],[HIDE IDP]:[HIDE NDP]])</f>
        <v>34020.800000000003</v>
      </c>
      <c r="U45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27324</v>
      </c>
      <c r="V45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6696.8</v>
      </c>
      <c r="W45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0</v>
      </c>
      <c r="X45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27324</v>
      </c>
      <c r="Y45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6696.8</v>
      </c>
      <c r="Z45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45" s="49">
        <f>ROUND($P$8*(Table24[[#This Row],[SHL_TAR_IDPs]]*$AA$3+Table24[[#This Row],[SHL_TAR_HC]]*$AA$4+Table24[[#This Row],[SHL_TAR_NDP]]*$AA$5)/$AA$18,0)</f>
        <v>2892</v>
      </c>
      <c r="AB45" s="49">
        <f>ROUND($P$8*(Table24[[#This Row],[SHL_TAR_IDPs]]*$AB$3+Table24[[#This Row],[SHL_TAR_HC]]*$AB$4+Table24[[#This Row],[SHL_TAR_NDP]]*$AB$5)/$AB$18,0)</f>
        <v>2892</v>
      </c>
      <c r="AC45" s="49">
        <f>ROUND($Q$8*(Table24[[#This Row],[SHL_TAR_IDPs]]*$AC$3+Table24[[#This Row],[SHL_TAR_HC]]*$AC$4+Table24[[#This Row],[SHL_TAR_NDP]]*$AC$5)/$AC$18,0)</f>
        <v>273</v>
      </c>
      <c r="AD45" s="49">
        <f>ROUND($Q$8*(Table24[[#This Row],[SHL_TAR_IDPs]]*$AD$3+Table24[[#This Row],[SHL_TAR_HC]]*$AD$4+Table24[[#This Row],[SHL_TAR_NDP]]*$AD$5)/$AD$18,0)</f>
        <v>273</v>
      </c>
      <c r="AE45" s="49">
        <f>ROUND($Q$8*(Table24[[#This Row],[SHL_TAR_IDPs]]*$AE$3+Table24[[#This Row],[SHL_TAR_HC]]*$AE$4+Table24[[#This Row],[SHL_TAR_NDP]]*$AE$5)/$AE$18,0)</f>
        <v>340</v>
      </c>
      <c r="AF45" s="49">
        <f>ROUND($Q$8*(Table24[[#This Row],[SHL_TAR_IDPs]]*$AF$3+Table24[[#This Row],[SHL_TAR_HC]]*$AF$4+Table24[[#This Row],[SHL_TAR_NDP]]*$AF$5)/$AF$18,0)</f>
        <v>680</v>
      </c>
      <c r="AG45" s="49">
        <f>ROUND($Q$8*(Table24[[#This Row],[SHL_TAR_IDPs]]*$AG$3+Table24[[#This Row],[SHL_TAR_HC]]*$AG$4+Table24[[#This Row],[SHL_TAR_NDP]]*$AG$5)/$AG$18,0)</f>
        <v>1222</v>
      </c>
      <c r="AH45" s="49">
        <f>ROUND($Q$8*(Table24[[#This Row],[SHL_TAR_IDPs]]*$AH$3+Table24[[#This Row],[SHL_TAR_HC]]*$AH$4+Table24[[#This Row],[SHL_TAR_NDP]]*$AH$5)/$AH$18,0)</f>
        <v>613</v>
      </c>
      <c r="AI45" s="49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>307</v>
      </c>
    </row>
    <row r="46" spans="1:35" ht="14.4" customHeight="1" x14ac:dyDescent="0.55000000000000004">
      <c r="A46" t="s">
        <v>444</v>
      </c>
      <c r="B46" t="s">
        <v>78</v>
      </c>
      <c r="C46" t="s">
        <v>268</v>
      </c>
      <c r="D46" s="58">
        <f>_xlfn.XLOOKUP($B46, 'Prioritization calculation'!D:D, 'Prioritization calculation'!X:X, "")</f>
        <v>2</v>
      </c>
      <c r="E46" s="58">
        <v>3</v>
      </c>
      <c r="F46" s="58">
        <v>4</v>
      </c>
      <c r="G46" s="58" t="s">
        <v>573</v>
      </c>
      <c r="H46" s="58">
        <v>0</v>
      </c>
      <c r="I46" s="58">
        <v>7465</v>
      </c>
      <c r="J46" s="58">
        <v>0</v>
      </c>
      <c r="K46" s="58"/>
      <c r="L46" s="58">
        <v>14589</v>
      </c>
      <c r="M46" s="58">
        <v>14242</v>
      </c>
      <c r="N46" s="58">
        <v>14717.5</v>
      </c>
      <c r="O46" s="97">
        <f>SUM(Table24[[#This Row],[SHL_PIN_IDPs]:[SHL_PIN_NDP]])</f>
        <v>24109</v>
      </c>
      <c r="P46" s="98">
        <v>11774</v>
      </c>
      <c r="Q46" s="98">
        <v>5887</v>
      </c>
      <c r="R46" s="98">
        <v>6448</v>
      </c>
      <c r="S46" s="98">
        <f>ROUND(SUM(Table24[[#This Row],[SHL_TAR_IDPs]:[SHL_TAR_NDP]]),0)</f>
        <v>7884</v>
      </c>
      <c r="T46" s="48">
        <f>SUM(Table24[[#This Row],[HIDE IDP]:[HIDE NDP]])</f>
        <v>7883.5</v>
      </c>
      <c r="U46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4710</v>
      </c>
      <c r="V46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1884</v>
      </c>
      <c r="W46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1289.5</v>
      </c>
      <c r="X46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4710</v>
      </c>
      <c r="Y46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1884</v>
      </c>
      <c r="Z46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1289.5</v>
      </c>
      <c r="AA46" s="49">
        <f>ROUND($P$8*(Table24[[#This Row],[SHL_TAR_IDPs]]*$AA$3+Table24[[#This Row],[SHL_TAR_HC]]*$AA$4+Table24[[#This Row],[SHL_TAR_NDP]]*$AA$5)/$AA$18,0)</f>
        <v>670</v>
      </c>
      <c r="AB46" s="49">
        <f>ROUND($P$8*(Table24[[#This Row],[SHL_TAR_IDPs]]*$AB$3+Table24[[#This Row],[SHL_TAR_HC]]*$AB$4+Table24[[#This Row],[SHL_TAR_NDP]]*$AB$5)/$AB$18,0)</f>
        <v>670</v>
      </c>
      <c r="AC46" s="49">
        <f>ROUND($Q$8*(Table24[[#This Row],[SHL_TAR_IDPs]]*$AC$3+Table24[[#This Row],[SHL_TAR_HC]]*$AC$4+Table24[[#This Row],[SHL_TAR_NDP]]*$AC$5)/$AC$18,0)</f>
        <v>47</v>
      </c>
      <c r="AD46" s="49">
        <f>ROUND($Q$8*(Table24[[#This Row],[SHL_TAR_IDPs]]*$AD$3+Table24[[#This Row],[SHL_TAR_HC]]*$AD$4+Table24[[#This Row],[SHL_TAR_NDP]]*$AD$5)/$AD$18,0)</f>
        <v>47</v>
      </c>
      <c r="AE46" s="49">
        <f>ROUND($Q$8*(Table24[[#This Row],[SHL_TAR_IDPs]]*$AE$3+Table24[[#This Row],[SHL_TAR_HC]]*$AE$4+Table24[[#This Row],[SHL_TAR_NDP]]*$AE$5)/$AE$18,0)</f>
        <v>79</v>
      </c>
      <c r="AF46" s="49">
        <f>ROUND($Q$8*(Table24[[#This Row],[SHL_TAR_IDPs]]*$AF$3+Table24[[#This Row],[SHL_TAR_HC]]*$AF$4+Table24[[#This Row],[SHL_TAR_NDP]]*$AF$5)/$AF$18,0)</f>
        <v>158</v>
      </c>
      <c r="AG46" s="49">
        <f>ROUND($Q$8*(Table24[[#This Row],[SHL_TAR_IDPs]]*$AG$3+Table24[[#This Row],[SHL_TAR_HC]]*$AG$4+Table24[[#This Row],[SHL_TAR_NDP]]*$AG$5)/$AG$18,0)</f>
        <v>345</v>
      </c>
      <c r="AH46" s="49">
        <f>ROUND($Q$8*(Table24[[#This Row],[SHL_TAR_IDPs]]*$AH$3+Table24[[#This Row],[SHL_TAR_HC]]*$AH$4+Table24[[#This Row],[SHL_TAR_NDP]]*$AH$5)/$AH$18,0)</f>
        <v>113</v>
      </c>
      <c r="AI46" s="49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>63</v>
      </c>
    </row>
    <row r="47" spans="1:35" x14ac:dyDescent="0.55000000000000004">
      <c r="A47" t="s">
        <v>444</v>
      </c>
      <c r="B47" t="s">
        <v>79</v>
      </c>
      <c r="C47" t="s">
        <v>269</v>
      </c>
      <c r="D47" s="58">
        <f>_xlfn.XLOOKUP($B47, 'Prioritization calculation'!D:D, 'Prioritization calculation'!X:X, "")</f>
        <v>4</v>
      </c>
      <c r="E47" s="58">
        <v>3</v>
      </c>
      <c r="F47" s="58">
        <v>4</v>
      </c>
      <c r="G47" s="58" t="s">
        <v>573</v>
      </c>
      <c r="H47" s="58">
        <v>5350</v>
      </c>
      <c r="I47" s="58">
        <v>0</v>
      </c>
      <c r="J47" s="98">
        <v>300</v>
      </c>
      <c r="K47" s="58"/>
      <c r="L47" s="58">
        <v>2935</v>
      </c>
      <c r="M47" s="58">
        <v>23499</v>
      </c>
      <c r="N47" s="58">
        <v>18999.742798353909</v>
      </c>
      <c r="O47" s="97">
        <f>SUM(Table24[[#This Row],[SHL_PIN_IDPs]:[SHL_PIN_NDP]])</f>
        <v>40634</v>
      </c>
      <c r="P47" s="98">
        <v>17080</v>
      </c>
      <c r="Q47" s="98">
        <v>0</v>
      </c>
      <c r="R47" s="98">
        <v>23554</v>
      </c>
      <c r="S47" s="98">
        <f>ROUND(SUM(Table24[[#This Row],[SHL_TAR_IDPs]:[SHL_TAR_NDP]]),0)</f>
        <v>2886</v>
      </c>
      <c r="T47" s="48">
        <f>SUM(Table24[[#This Row],[HIDE IDP]:[HIDE NDP]])</f>
        <v>2885.5</v>
      </c>
      <c r="U47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1708</v>
      </c>
      <c r="V47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0</v>
      </c>
      <c r="W47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1177.5</v>
      </c>
      <c r="X47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1708</v>
      </c>
      <c r="Y47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0</v>
      </c>
      <c r="Z47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1177.5</v>
      </c>
      <c r="AA47" s="49">
        <f>ROUND($P$8*(Table24[[#This Row],[SHL_TAR_IDPs]]*$AA$3+Table24[[#This Row],[SHL_TAR_HC]]*$AA$4+Table24[[#This Row],[SHL_TAR_NDP]]*$AA$5)/$AA$18,0)</f>
        <v>245</v>
      </c>
      <c r="AB47" s="49">
        <f>ROUND($P$8*(Table24[[#This Row],[SHL_TAR_IDPs]]*$AB$3+Table24[[#This Row],[SHL_TAR_HC]]*$AB$4+Table24[[#This Row],[SHL_TAR_NDP]]*$AB$5)/$AB$18,0)</f>
        <v>245</v>
      </c>
      <c r="AC47" s="49">
        <f>ROUND($Q$8*(Table24[[#This Row],[SHL_TAR_IDPs]]*$AC$3+Table24[[#This Row],[SHL_TAR_HC]]*$AC$4+Table24[[#This Row],[SHL_TAR_NDP]]*$AC$5)/$AC$18,0)</f>
        <v>17</v>
      </c>
      <c r="AD47" s="49">
        <f>ROUND($Q$8*(Table24[[#This Row],[SHL_TAR_IDPs]]*$AD$3+Table24[[#This Row],[SHL_TAR_HC]]*$AD$4+Table24[[#This Row],[SHL_TAR_NDP]]*$AD$5)/$AD$18,0)</f>
        <v>17</v>
      </c>
      <c r="AE47" s="49">
        <f>ROUND($Q$8*(Table24[[#This Row],[SHL_TAR_IDPs]]*$AE$3+Table24[[#This Row],[SHL_TAR_HC]]*$AE$4+Table24[[#This Row],[SHL_TAR_NDP]]*$AE$5)/$AE$18,0)</f>
        <v>29</v>
      </c>
      <c r="AF47" s="49">
        <f>ROUND($Q$8*(Table24[[#This Row],[SHL_TAR_IDPs]]*$AF$3+Table24[[#This Row],[SHL_TAR_HC]]*$AF$4+Table24[[#This Row],[SHL_TAR_NDP]]*$AF$5)/$AF$18,0)</f>
        <v>58</v>
      </c>
      <c r="AG47" s="49">
        <f>ROUND($Q$8*(Table24[[#This Row],[SHL_TAR_IDPs]]*$AG$3+Table24[[#This Row],[SHL_TAR_HC]]*$AG$4+Table24[[#This Row],[SHL_TAR_NDP]]*$AG$5)/$AG$18,0)</f>
        <v>134</v>
      </c>
      <c r="AH47" s="49">
        <f>ROUND($Q$8*(Table24[[#This Row],[SHL_TAR_IDPs]]*$AH$3+Table24[[#This Row],[SHL_TAR_HC]]*$AH$4+Table24[[#This Row],[SHL_TAR_NDP]]*$AH$5)/$AH$18,0)</f>
        <v>34</v>
      </c>
      <c r="AI47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</row>
    <row r="48" spans="1:35" x14ac:dyDescent="0.55000000000000004">
      <c r="A48" t="s">
        <v>444</v>
      </c>
      <c r="B48" t="s">
        <v>80</v>
      </c>
      <c r="C48" t="s">
        <v>270</v>
      </c>
      <c r="D48" s="58">
        <f>_xlfn.XLOOKUP($B48, 'Prioritization calculation'!D:D, 'Prioritization calculation'!X:X, "")</f>
        <v>4</v>
      </c>
      <c r="E48" s="58">
        <v>3</v>
      </c>
      <c r="F48" s="58">
        <v>4</v>
      </c>
      <c r="G48" s="58" t="s">
        <v>573</v>
      </c>
      <c r="H48" s="58">
        <v>0</v>
      </c>
      <c r="I48" s="58">
        <v>0</v>
      </c>
      <c r="J48" s="58">
        <v>0</v>
      </c>
      <c r="K48" s="58"/>
      <c r="L48" s="58">
        <v>3680</v>
      </c>
      <c r="M48" s="58">
        <v>13497</v>
      </c>
      <c r="N48" s="58">
        <v>12865</v>
      </c>
      <c r="O48" s="97">
        <f>SUM(Table24[[#This Row],[SHL_PIN_IDPs]:[SHL_PIN_NDP]])</f>
        <v>26314</v>
      </c>
      <c r="P48" s="98">
        <v>10292</v>
      </c>
      <c r="Q48" s="98">
        <v>5147</v>
      </c>
      <c r="R48" s="98">
        <v>10875</v>
      </c>
      <c r="S48" s="98">
        <f>ROUND(SUM(Table24[[#This Row],[SHL_TAR_IDPs]:[SHL_TAR_NDP]]),0)</f>
        <v>0</v>
      </c>
      <c r="T48" s="100">
        <f>SUM(Table24[[#This Row],[HIDE IDP]:[HIDE NDP]])</f>
        <v>1985</v>
      </c>
      <c r="U48" s="100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1029</v>
      </c>
      <c r="V48" s="100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412</v>
      </c>
      <c r="W48" s="100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544</v>
      </c>
      <c r="X48" s="98">
        <f>100000*AK48</f>
        <v>0</v>
      </c>
      <c r="Y48" s="9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0</v>
      </c>
      <c r="Z48" s="9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48" s="49">
        <f>ROUND($P$8*(Table24[[#This Row],[SHL_TAR_IDPs]]*$AA$3+Table24[[#This Row],[SHL_TAR_HC]]*$AA$4+Table24[[#This Row],[SHL_TAR_NDP]]*$AA$5)/$AA$18,0)</f>
        <v>0</v>
      </c>
      <c r="AB48" s="49">
        <f>ROUND($P$8*(Table24[[#This Row],[SHL_TAR_IDPs]]*$AB$3+Table24[[#This Row],[SHL_TAR_HC]]*$AB$4+Table24[[#This Row],[SHL_TAR_NDP]]*$AB$5)/$AB$18,0)</f>
        <v>0</v>
      </c>
      <c r="AC48" s="49">
        <f>ROUND($Q$8*(Table24[[#This Row],[SHL_TAR_IDPs]]*$AC$3+Table24[[#This Row],[SHL_TAR_HC]]*$AC$4+Table24[[#This Row],[SHL_TAR_NDP]]*$AC$5)/$AC$18,0)</f>
        <v>0</v>
      </c>
      <c r="AD48" s="49">
        <f>ROUND($Q$8*(Table24[[#This Row],[SHL_TAR_IDPs]]*$AD$3+Table24[[#This Row],[SHL_TAR_HC]]*$AD$4+Table24[[#This Row],[SHL_TAR_NDP]]*$AD$5)/$AD$18,0)</f>
        <v>0</v>
      </c>
      <c r="AE48" s="49">
        <f>ROUND($Q$8*(Table24[[#This Row],[SHL_TAR_IDPs]]*$AE$3+Table24[[#This Row],[SHL_TAR_HC]]*$AE$4+Table24[[#This Row],[SHL_TAR_NDP]]*$AE$5)/$AE$18,0)</f>
        <v>0</v>
      </c>
      <c r="AF48" s="49">
        <f>ROUND($Q$8*(Table24[[#This Row],[SHL_TAR_IDPs]]*$AF$3+Table24[[#This Row],[SHL_TAR_HC]]*$AF$4+Table24[[#This Row],[SHL_TAR_NDP]]*$AF$5)/$AF$18,0)</f>
        <v>0</v>
      </c>
      <c r="AG48" s="49">
        <f>ROUND($Q$8*(Table24[[#This Row],[SHL_TAR_IDPs]]*$AG$3+Table24[[#This Row],[SHL_TAR_HC]]*$AG$4+Table24[[#This Row],[SHL_TAR_NDP]]*$AG$5)/$AG$18,0)</f>
        <v>0</v>
      </c>
      <c r="AH48" s="49">
        <f>ROUND($Q$8*(Table24[[#This Row],[SHL_TAR_IDPs]]*$AH$3+Table24[[#This Row],[SHL_TAR_HC]]*$AH$4+Table24[[#This Row],[SHL_TAR_NDP]]*$AH$5)/$AH$18,0)</f>
        <v>0</v>
      </c>
      <c r="AI48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</row>
    <row r="49" spans="1:35" x14ac:dyDescent="0.55000000000000004">
      <c r="A49" t="s">
        <v>444</v>
      </c>
      <c r="B49" t="s">
        <v>81</v>
      </c>
      <c r="C49" t="s">
        <v>271</v>
      </c>
      <c r="D49" s="58">
        <f>_xlfn.XLOOKUP($B49, 'Prioritization calculation'!D:D, 'Prioritization calculation'!X:X, "")</f>
        <v>4</v>
      </c>
      <c r="E49" s="58">
        <v>4</v>
      </c>
      <c r="F49" s="58">
        <v>4</v>
      </c>
      <c r="G49" s="58" t="s">
        <v>573</v>
      </c>
      <c r="H49" s="58">
        <v>65375</v>
      </c>
      <c r="I49" s="58">
        <v>7500</v>
      </c>
      <c r="J49" s="58">
        <v>0</v>
      </c>
      <c r="K49" s="58"/>
      <c r="L49" s="58">
        <v>1156</v>
      </c>
      <c r="M49" s="58">
        <v>49455</v>
      </c>
      <c r="N49" s="58">
        <v>50793.453826917917</v>
      </c>
      <c r="O49" s="97">
        <f>SUM(Table24[[#This Row],[SHL_PIN_IDPs]:[SHL_PIN_NDP]])</f>
        <v>90729</v>
      </c>
      <c r="P49" s="98">
        <v>67091</v>
      </c>
      <c r="Q49" s="98">
        <v>22364</v>
      </c>
      <c r="R49" s="98">
        <v>1274</v>
      </c>
      <c r="S49" s="98">
        <f>ROUND(SUM(Table24[[#This Row],[SHL_TAR_IDPs]:[SHL_TAR_NDP]]),0)</f>
        <v>17124</v>
      </c>
      <c r="T49" s="48">
        <f>SUM(Table24[[#This Row],[HIDE IDP]:[HIDE NDP]])</f>
        <v>17123.900000000001</v>
      </c>
      <c r="U49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13418</v>
      </c>
      <c r="V49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3578.4</v>
      </c>
      <c r="W49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127.5</v>
      </c>
      <c r="X49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13418</v>
      </c>
      <c r="Y49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3578.4</v>
      </c>
      <c r="Z49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127.5</v>
      </c>
      <c r="AA49" s="49">
        <f>ROUND($P$8*(Table24[[#This Row],[SHL_TAR_IDPs]]*$AA$3+Table24[[#This Row],[SHL_TAR_HC]]*$AA$4+Table24[[#This Row],[SHL_TAR_NDP]]*$AA$5)/$AA$18,0)</f>
        <v>1456</v>
      </c>
      <c r="AB49" s="49">
        <f>ROUND($P$8*(Table24[[#This Row],[SHL_TAR_IDPs]]*$AB$3+Table24[[#This Row],[SHL_TAR_HC]]*$AB$4+Table24[[#This Row],[SHL_TAR_NDP]]*$AB$5)/$AB$18,0)</f>
        <v>1456</v>
      </c>
      <c r="AC49" s="49">
        <f>ROUND($Q$8*(Table24[[#This Row],[SHL_TAR_IDPs]]*$AC$3+Table24[[#This Row],[SHL_TAR_HC]]*$AC$4+Table24[[#This Row],[SHL_TAR_NDP]]*$AC$5)/$AC$18,0)</f>
        <v>134</v>
      </c>
      <c r="AD49" s="49">
        <f>ROUND($Q$8*(Table24[[#This Row],[SHL_TAR_IDPs]]*$AD$3+Table24[[#This Row],[SHL_TAR_HC]]*$AD$4+Table24[[#This Row],[SHL_TAR_NDP]]*$AD$5)/$AD$18,0)</f>
        <v>134</v>
      </c>
      <c r="AE49" s="49">
        <f>ROUND($Q$8*(Table24[[#This Row],[SHL_TAR_IDPs]]*$AE$3+Table24[[#This Row],[SHL_TAR_HC]]*$AE$4+Table24[[#This Row],[SHL_TAR_NDP]]*$AE$5)/$AE$18,0)</f>
        <v>171</v>
      </c>
      <c r="AF49" s="49">
        <f>ROUND($Q$8*(Table24[[#This Row],[SHL_TAR_IDPs]]*$AF$3+Table24[[#This Row],[SHL_TAR_HC]]*$AF$4+Table24[[#This Row],[SHL_TAR_NDP]]*$AF$5)/$AF$18,0)</f>
        <v>342</v>
      </c>
      <c r="AG49" s="49">
        <f>ROUND($Q$8*(Table24[[#This Row],[SHL_TAR_IDPs]]*$AG$3+Table24[[#This Row],[SHL_TAR_HC]]*$AG$4+Table24[[#This Row],[SHL_TAR_NDP]]*$AG$5)/$AG$18,0)</f>
        <v>626</v>
      </c>
      <c r="AH49" s="49">
        <f>ROUND($Q$8*(Table24[[#This Row],[SHL_TAR_IDPs]]*$AH$3+Table24[[#This Row],[SHL_TAR_HC]]*$AH$4+Table24[[#This Row],[SHL_TAR_NDP]]*$AH$5)/$AH$18,0)</f>
        <v>304</v>
      </c>
      <c r="AI49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</row>
    <row r="50" spans="1:35" x14ac:dyDescent="0.55000000000000004">
      <c r="A50" t="s">
        <v>444</v>
      </c>
      <c r="B50" t="s">
        <v>82</v>
      </c>
      <c r="C50" t="s">
        <v>272</v>
      </c>
      <c r="D50" s="58">
        <f>_xlfn.XLOOKUP($B50, 'Prioritization calculation'!D:D, 'Prioritization calculation'!X:X, "")</f>
        <v>4</v>
      </c>
      <c r="E50" s="58">
        <v>4</v>
      </c>
      <c r="F50" s="58">
        <v>4</v>
      </c>
      <c r="G50" s="58" t="s">
        <v>573</v>
      </c>
      <c r="H50" s="58">
        <v>38250</v>
      </c>
      <c r="I50" s="58">
        <v>4285</v>
      </c>
      <c r="J50" s="58">
        <v>100</v>
      </c>
      <c r="K50" s="58"/>
      <c r="L50" s="58">
        <v>5155</v>
      </c>
      <c r="M50" s="58">
        <v>22931</v>
      </c>
      <c r="N50" s="58">
        <v>8676.7954779033917</v>
      </c>
      <c r="O50" s="97">
        <f>SUM(Table24[[#This Row],[SHL_PIN_IDPs]:[SHL_PIN_NDP]])</f>
        <v>49230</v>
      </c>
      <c r="P50" s="98">
        <v>30197</v>
      </c>
      <c r="Q50" s="98">
        <v>15098</v>
      </c>
      <c r="R50" s="98">
        <v>3935</v>
      </c>
      <c r="S50" s="98">
        <f>ROUND(SUM(Table24[[#This Row],[SHL_TAR_IDPs]:[SHL_TAR_NDP]]),0)</f>
        <v>8849</v>
      </c>
      <c r="T50" s="48">
        <f>SUM(Table24[[#This Row],[HIDE IDP]:[HIDE NDP]])</f>
        <v>8848.5</v>
      </c>
      <c r="U50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6039</v>
      </c>
      <c r="V50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2416</v>
      </c>
      <c r="W50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393.5</v>
      </c>
      <c r="X50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6039</v>
      </c>
      <c r="Y50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2416</v>
      </c>
      <c r="Z50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393.5</v>
      </c>
      <c r="AA50" s="49">
        <f>ROUND($P$8*(Table24[[#This Row],[SHL_TAR_IDPs]]*$AA$3+Table24[[#This Row],[SHL_TAR_HC]]*$AA$4+Table24[[#This Row],[SHL_TAR_NDP]]*$AA$5)/$AA$18,0)</f>
        <v>752</v>
      </c>
      <c r="AB50" s="49">
        <f>ROUND($P$8*(Table24[[#This Row],[SHL_TAR_IDPs]]*$AB$3+Table24[[#This Row],[SHL_TAR_HC]]*$AB$4+Table24[[#This Row],[SHL_TAR_NDP]]*$AB$5)/$AB$18,0)</f>
        <v>752</v>
      </c>
      <c r="AC50" s="49">
        <f>ROUND($Q$8*(Table24[[#This Row],[SHL_TAR_IDPs]]*$AC$3+Table24[[#This Row],[SHL_TAR_HC]]*$AC$4+Table24[[#This Row],[SHL_TAR_NDP]]*$AC$5)/$AC$18,0)</f>
        <v>60</v>
      </c>
      <c r="AD50" s="49">
        <f>ROUND($Q$8*(Table24[[#This Row],[SHL_TAR_IDPs]]*$AD$3+Table24[[#This Row],[SHL_TAR_HC]]*$AD$4+Table24[[#This Row],[SHL_TAR_NDP]]*$AD$5)/$AD$18,0)</f>
        <v>60</v>
      </c>
      <c r="AE50" s="49">
        <f>ROUND($Q$8*(Table24[[#This Row],[SHL_TAR_IDPs]]*$AE$3+Table24[[#This Row],[SHL_TAR_HC]]*$AE$4+Table24[[#This Row],[SHL_TAR_NDP]]*$AE$5)/$AE$18,0)</f>
        <v>88</v>
      </c>
      <c r="AF50" s="49">
        <f>ROUND($Q$8*(Table24[[#This Row],[SHL_TAR_IDPs]]*$AF$3+Table24[[#This Row],[SHL_TAR_HC]]*$AF$4+Table24[[#This Row],[SHL_TAR_NDP]]*$AF$5)/$AF$18,0)</f>
        <v>177</v>
      </c>
      <c r="AG50" s="49">
        <f>ROUND($Q$8*(Table24[[#This Row],[SHL_TAR_IDPs]]*$AG$3+Table24[[#This Row],[SHL_TAR_HC]]*$AG$4+Table24[[#This Row],[SHL_TAR_NDP]]*$AG$5)/$AG$18,0)</f>
        <v>354</v>
      </c>
      <c r="AH50" s="49">
        <f>ROUND($Q$8*(Table24[[#This Row],[SHL_TAR_IDPs]]*$AH$3+Table24[[#This Row],[SHL_TAR_HC]]*$AH$4+Table24[[#This Row],[SHL_TAR_NDP]]*$AH$5)/$AH$18,0)</f>
        <v>145</v>
      </c>
      <c r="AI50" s="49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>74</v>
      </c>
    </row>
    <row r="51" spans="1:35" x14ac:dyDescent="0.55000000000000004">
      <c r="A51" t="s">
        <v>444</v>
      </c>
      <c r="B51" t="s">
        <v>83</v>
      </c>
      <c r="C51" t="s">
        <v>273</v>
      </c>
      <c r="D51" s="58">
        <f>_xlfn.XLOOKUP($B51, 'Prioritization calculation'!D:D, 'Prioritization calculation'!X:X, "")</f>
        <v>4</v>
      </c>
      <c r="E51" s="58">
        <v>3</v>
      </c>
      <c r="F51" s="58">
        <v>3</v>
      </c>
      <c r="G51" s="58" t="s">
        <v>573</v>
      </c>
      <c r="H51" s="58">
        <v>1530</v>
      </c>
      <c r="I51" s="98">
        <v>10000</v>
      </c>
      <c r="J51" s="58">
        <v>0</v>
      </c>
      <c r="K51" s="58"/>
      <c r="L51" s="58">
        <v>7450</v>
      </c>
      <c r="M51" s="58">
        <v>28671</v>
      </c>
      <c r="N51" s="58">
        <v>27152.9</v>
      </c>
      <c r="O51" s="97">
        <f>SUM(Table24[[#This Row],[SHL_PIN_IDPs]:[SHL_PIN_NDP]])</f>
        <v>56468</v>
      </c>
      <c r="P51" s="98">
        <v>21722</v>
      </c>
      <c r="Q51" s="98">
        <v>10861</v>
      </c>
      <c r="R51" s="98">
        <v>23885</v>
      </c>
      <c r="S51" s="98">
        <f>ROUND(SUM(Table24[[#This Row],[SHL_TAR_IDPs]:[SHL_TAR_NDP]]),0)</f>
        <v>4235</v>
      </c>
      <c r="T51" s="48">
        <f>SUM(Table24[[#This Row],[HIDE IDP]:[HIDE NDP]])</f>
        <v>4235.3</v>
      </c>
      <c r="U51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2172</v>
      </c>
      <c r="V51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868.80000000000007</v>
      </c>
      <c r="W51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1194.5</v>
      </c>
      <c r="X51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2172</v>
      </c>
      <c r="Y51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868.80000000000007</v>
      </c>
      <c r="Z51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1194.5</v>
      </c>
      <c r="AA51" s="49">
        <f>ROUND($P$8*(Table24[[#This Row],[SHL_TAR_IDPs]]*$AA$3+Table24[[#This Row],[SHL_TAR_HC]]*$AA$4+Table24[[#This Row],[SHL_TAR_NDP]]*$AA$5)/$AA$18,0)</f>
        <v>360</v>
      </c>
      <c r="AB51" s="49">
        <f>ROUND($P$8*(Table24[[#This Row],[SHL_TAR_IDPs]]*$AB$3+Table24[[#This Row],[SHL_TAR_HC]]*$AB$4+Table24[[#This Row],[SHL_TAR_NDP]]*$AB$5)/$AB$18,0)</f>
        <v>360</v>
      </c>
      <c r="AC51" s="49">
        <f>ROUND($Q$8*(Table24[[#This Row],[SHL_TAR_IDPs]]*$AC$3+Table24[[#This Row],[SHL_TAR_HC]]*$AC$4+Table24[[#This Row],[SHL_TAR_NDP]]*$AC$5)/$AC$18,0)</f>
        <v>22</v>
      </c>
      <c r="AD51" s="49">
        <f>ROUND($Q$8*(Table24[[#This Row],[SHL_TAR_IDPs]]*$AD$3+Table24[[#This Row],[SHL_TAR_HC]]*$AD$4+Table24[[#This Row],[SHL_TAR_NDP]]*$AD$5)/$AD$18,0)</f>
        <v>22</v>
      </c>
      <c r="AE51" s="49">
        <f>ROUND($Q$8*(Table24[[#This Row],[SHL_TAR_IDPs]]*$AE$3+Table24[[#This Row],[SHL_TAR_HC]]*$AE$4+Table24[[#This Row],[SHL_TAR_NDP]]*$AE$5)/$AE$18,0)</f>
        <v>42</v>
      </c>
      <c r="AF51" s="49">
        <f>ROUND($Q$8*(Table24[[#This Row],[SHL_TAR_IDPs]]*$AF$3+Table24[[#This Row],[SHL_TAR_HC]]*$AF$4+Table24[[#This Row],[SHL_TAR_NDP]]*$AF$5)/$AF$18,0)</f>
        <v>85</v>
      </c>
      <c r="AG51" s="49">
        <f>ROUND($Q$8*(Table24[[#This Row],[SHL_TAR_IDPs]]*$AG$3+Table24[[#This Row],[SHL_TAR_HC]]*$AG$4+Table24[[#This Row],[SHL_TAR_NDP]]*$AG$5)/$AG$18,0)</f>
        <v>201</v>
      </c>
      <c r="AH51" s="49">
        <f>ROUND($Q$8*(Table24[[#This Row],[SHL_TAR_IDPs]]*$AH$3+Table24[[#This Row],[SHL_TAR_HC]]*$AH$4+Table24[[#This Row],[SHL_TAR_NDP]]*$AH$5)/$AH$18,0)</f>
        <v>52</v>
      </c>
      <c r="AI51" s="49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>32</v>
      </c>
    </row>
    <row r="52" spans="1:35" x14ac:dyDescent="0.55000000000000004">
      <c r="A52" t="s">
        <v>444</v>
      </c>
      <c r="B52" t="s">
        <v>84</v>
      </c>
      <c r="C52" t="s">
        <v>274</v>
      </c>
      <c r="D52" s="58">
        <f>_xlfn.XLOOKUP($B52, 'Prioritization calculation'!D:D, 'Prioritization calculation'!X:X, "")</f>
        <v>4</v>
      </c>
      <c r="E52" s="58">
        <v>4</v>
      </c>
      <c r="F52" s="58">
        <v>4</v>
      </c>
      <c r="G52" s="58" t="s">
        <v>573</v>
      </c>
      <c r="H52" s="58">
        <v>5105</v>
      </c>
      <c r="I52" s="58">
        <v>39450</v>
      </c>
      <c r="J52" s="58">
        <v>600</v>
      </c>
      <c r="K52" s="58"/>
      <c r="L52" s="58">
        <v>0</v>
      </c>
      <c r="M52" s="58">
        <v>37623</v>
      </c>
      <c r="N52" s="58">
        <v>38703.581821805863</v>
      </c>
      <c r="O52" s="97">
        <f>SUM(Table24[[#This Row],[SHL_PIN_IDPs]:[SHL_PIN_NDP]])</f>
        <v>76772</v>
      </c>
      <c r="P52" s="98">
        <v>50898</v>
      </c>
      <c r="Q52" s="98">
        <v>22253</v>
      </c>
      <c r="R52" s="98">
        <v>3621</v>
      </c>
      <c r="S52" s="98">
        <f>ROUND(SUM(Table24[[#This Row],[SHL_TAR_IDPs]:[SHL_TAR_NDP]]),0)</f>
        <v>14103</v>
      </c>
      <c r="T52" s="48">
        <f>SUM(Table24[[#This Row],[HIDE IDP]:[HIDE NDP]])</f>
        <v>14102.8</v>
      </c>
      <c r="U52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10180</v>
      </c>
      <c r="V52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3560.8</v>
      </c>
      <c r="W52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362</v>
      </c>
      <c r="X52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10180</v>
      </c>
      <c r="Y52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3560.8</v>
      </c>
      <c r="Z52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362</v>
      </c>
      <c r="AA52" s="49">
        <f>ROUND($P$8*(Table24[[#This Row],[SHL_TAR_IDPs]]*$AA$3+Table24[[#This Row],[SHL_TAR_HC]]*$AA$4+Table24[[#This Row],[SHL_TAR_NDP]]*$AA$5)/$AA$18,0)</f>
        <v>1199</v>
      </c>
      <c r="AB52" s="49">
        <f>ROUND($P$8*(Table24[[#This Row],[SHL_TAR_IDPs]]*$AB$3+Table24[[#This Row],[SHL_TAR_HC]]*$AB$4+Table24[[#This Row],[SHL_TAR_NDP]]*$AB$5)/$AB$18,0)</f>
        <v>1199</v>
      </c>
      <c r="AC52" s="49">
        <f>ROUND($Q$8*(Table24[[#This Row],[SHL_TAR_IDPs]]*$AC$3+Table24[[#This Row],[SHL_TAR_HC]]*$AC$4+Table24[[#This Row],[SHL_TAR_NDP]]*$AC$5)/$AC$18,0)</f>
        <v>102</v>
      </c>
      <c r="AD52" s="49">
        <f>ROUND($Q$8*(Table24[[#This Row],[SHL_TAR_IDPs]]*$AD$3+Table24[[#This Row],[SHL_TAR_HC]]*$AD$4+Table24[[#This Row],[SHL_TAR_NDP]]*$AD$5)/$AD$18,0)</f>
        <v>102</v>
      </c>
      <c r="AE52" s="49">
        <f>ROUND($Q$8*(Table24[[#This Row],[SHL_TAR_IDPs]]*$AE$3+Table24[[#This Row],[SHL_TAR_HC]]*$AE$4+Table24[[#This Row],[SHL_TAR_NDP]]*$AE$5)/$AE$18,0)</f>
        <v>141</v>
      </c>
      <c r="AF52" s="49">
        <f>ROUND($Q$8*(Table24[[#This Row],[SHL_TAR_IDPs]]*$AF$3+Table24[[#This Row],[SHL_TAR_HC]]*$AF$4+Table24[[#This Row],[SHL_TAR_NDP]]*$AF$5)/$AF$18,0)</f>
        <v>282</v>
      </c>
      <c r="AG52" s="49">
        <f>ROUND($Q$8*(Table24[[#This Row],[SHL_TAR_IDPs]]*$AG$3+Table24[[#This Row],[SHL_TAR_HC]]*$AG$4+Table24[[#This Row],[SHL_TAR_NDP]]*$AG$5)/$AG$18,0)</f>
        <v>544</v>
      </c>
      <c r="AH52" s="49">
        <f>ROUND($Q$8*(Table24[[#This Row],[SHL_TAR_IDPs]]*$AH$3+Table24[[#This Row],[SHL_TAR_HC]]*$AH$4+Table24[[#This Row],[SHL_TAR_NDP]]*$AH$5)/$AH$18,0)</f>
        <v>239</v>
      </c>
      <c r="AI52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</row>
    <row r="53" spans="1:35" x14ac:dyDescent="0.55000000000000004">
      <c r="A53" t="s">
        <v>444</v>
      </c>
      <c r="B53" t="s">
        <v>85</v>
      </c>
      <c r="C53" t="s">
        <v>275</v>
      </c>
      <c r="D53" s="58">
        <f>_xlfn.XLOOKUP($B53, 'Prioritization calculation'!D:D, 'Prioritization calculation'!X:X, "")</f>
        <v>5</v>
      </c>
      <c r="E53" s="58">
        <v>5</v>
      </c>
      <c r="F53" s="58">
        <v>5</v>
      </c>
      <c r="G53" s="58" t="s">
        <v>572</v>
      </c>
      <c r="H53" s="58">
        <v>97750</v>
      </c>
      <c r="I53" s="58">
        <v>4300</v>
      </c>
      <c r="J53" s="58">
        <v>0</v>
      </c>
      <c r="K53" s="58"/>
      <c r="L53" s="58">
        <v>10325</v>
      </c>
      <c r="M53" s="58">
        <v>172279</v>
      </c>
      <c r="N53" s="58">
        <v>85784.416666666657</v>
      </c>
      <c r="O53" s="97">
        <f>SUM(Table24[[#This Row],[SHL_PIN_IDPs]:[SHL_PIN_NDP]])</f>
        <v>270117</v>
      </c>
      <c r="P53" s="98">
        <v>215010</v>
      </c>
      <c r="Q53" s="98">
        <v>55107</v>
      </c>
      <c r="R53" s="98">
        <v>0</v>
      </c>
      <c r="S53" s="98">
        <f>ROUND(SUM(Table24[[#This Row],[SHL_TAR_IDPs]:[SHL_TAR_NDP]]),0)</f>
        <v>51819</v>
      </c>
      <c r="T53" s="48">
        <f>SUM(Table24[[#This Row],[HIDE IDP]:[HIDE NDP]])</f>
        <v>51818.8</v>
      </c>
      <c r="U53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43002</v>
      </c>
      <c r="V53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8816.8000000000011</v>
      </c>
      <c r="W53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0</v>
      </c>
      <c r="X53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43002</v>
      </c>
      <c r="Y53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8816.8000000000011</v>
      </c>
      <c r="Z53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53" s="49">
        <f>ROUND($P$8*(Table24[[#This Row],[SHL_TAR_IDPs]]*$AA$3+Table24[[#This Row],[SHL_TAR_HC]]*$AA$4+Table24[[#This Row],[SHL_TAR_NDP]]*$AA$5)/$AA$18,0)</f>
        <v>4405</v>
      </c>
      <c r="AB53" s="49">
        <f>ROUND($P$8*(Table24[[#This Row],[SHL_TAR_IDPs]]*$AB$3+Table24[[#This Row],[SHL_TAR_HC]]*$AB$4+Table24[[#This Row],[SHL_TAR_NDP]]*$AB$5)/$AB$18,0)</f>
        <v>4405</v>
      </c>
      <c r="AC53" s="49">
        <f>ROUND($Q$8*(Table24[[#This Row],[SHL_TAR_IDPs]]*$AC$3+Table24[[#This Row],[SHL_TAR_HC]]*$AC$4+Table24[[#This Row],[SHL_TAR_NDP]]*$AC$5)/$AC$18,0)</f>
        <v>430</v>
      </c>
      <c r="AD53" s="49">
        <f>ROUND($Q$8*(Table24[[#This Row],[SHL_TAR_IDPs]]*$AD$3+Table24[[#This Row],[SHL_TAR_HC]]*$AD$4+Table24[[#This Row],[SHL_TAR_NDP]]*$AD$5)/$AD$18,0)</f>
        <v>430</v>
      </c>
      <c r="AE53" s="49">
        <f>ROUND($Q$8*(Table24[[#This Row],[SHL_TAR_IDPs]]*$AE$3+Table24[[#This Row],[SHL_TAR_HC]]*$AE$4+Table24[[#This Row],[SHL_TAR_NDP]]*$AE$5)/$AE$18,0)</f>
        <v>518</v>
      </c>
      <c r="AF53" s="49">
        <f>ROUND($Q$8*(Table24[[#This Row],[SHL_TAR_IDPs]]*$AF$3+Table24[[#This Row],[SHL_TAR_HC]]*$AF$4+Table24[[#This Row],[SHL_TAR_NDP]]*$AF$5)/$AF$18,0)</f>
        <v>1036</v>
      </c>
      <c r="AG53" s="49">
        <f>ROUND($Q$8*(Table24[[#This Row],[SHL_TAR_IDPs]]*$AG$3+Table24[[#This Row],[SHL_TAR_HC]]*$AG$4+Table24[[#This Row],[SHL_TAR_NDP]]*$AG$5)/$AG$18,0)</f>
        <v>1819</v>
      </c>
      <c r="AH53" s="49">
        <f>ROUND($Q$8*(Table24[[#This Row],[SHL_TAR_IDPs]]*$AH$3+Table24[[#This Row],[SHL_TAR_HC]]*$AH$4+Table24[[#This Row],[SHL_TAR_NDP]]*$AH$5)/$AH$18,0)</f>
        <v>948</v>
      </c>
      <c r="AI53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</row>
    <row r="54" spans="1:35" x14ac:dyDescent="0.55000000000000004">
      <c r="A54" t="s">
        <v>445</v>
      </c>
      <c r="B54" t="s">
        <v>86</v>
      </c>
      <c r="C54" t="s">
        <v>276</v>
      </c>
      <c r="D54" s="58">
        <f>_xlfn.XLOOKUP($B54, 'Prioritization calculation'!D:D, 'Prioritization calculation'!X:X, "")</f>
        <v>2</v>
      </c>
      <c r="E54" s="58">
        <v>3</v>
      </c>
      <c r="F54" s="58">
        <v>3</v>
      </c>
      <c r="G54" s="58" t="s">
        <v>573</v>
      </c>
      <c r="H54" s="58">
        <v>42360</v>
      </c>
      <c r="I54" s="58">
        <v>27290</v>
      </c>
      <c r="J54" s="58">
        <v>0</v>
      </c>
      <c r="K54" s="58">
        <v>2500</v>
      </c>
      <c r="L54" s="58">
        <v>0</v>
      </c>
      <c r="M54" s="58">
        <v>11519</v>
      </c>
      <c r="N54" s="58">
        <v>0</v>
      </c>
      <c r="O54" s="97">
        <f>SUM(Table24[[#This Row],[SHL_PIN_IDPs]:[SHL_PIN_NDP]])</f>
        <v>26933</v>
      </c>
      <c r="P54" s="98">
        <v>16304</v>
      </c>
      <c r="Q54" s="98">
        <v>9948</v>
      </c>
      <c r="R54" s="98">
        <v>681</v>
      </c>
      <c r="S54" s="98">
        <f>ROUND(SUM(Table24[[#This Row],[SHL_TAR_IDPs]:[SHL_TAR_NDP]]),0)</f>
        <v>9841</v>
      </c>
      <c r="T54" s="48">
        <f>SUM(Table24[[#This Row],[HIDE IDP]:[HIDE NDP]])</f>
        <v>9841.2000000000007</v>
      </c>
      <c r="U54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6522</v>
      </c>
      <c r="V54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3183.2000000000003</v>
      </c>
      <c r="W54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136</v>
      </c>
      <c r="X54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6522</v>
      </c>
      <c r="Y54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3183.2000000000003</v>
      </c>
      <c r="Z54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136</v>
      </c>
      <c r="AA54" s="49">
        <f>ROUND($P$8*(Table24[[#This Row],[SHL_TAR_IDPs]]*$AA$3+Table24[[#This Row],[SHL_TAR_HC]]*$AA$4+Table24[[#This Row],[SHL_TAR_NDP]]*$AA$5)/$AA$18,0)</f>
        <v>837</v>
      </c>
      <c r="AB54" s="49">
        <f>ROUND($P$8*(Table24[[#This Row],[SHL_TAR_IDPs]]*$AB$3+Table24[[#This Row],[SHL_TAR_HC]]*$AB$4+Table24[[#This Row],[SHL_TAR_NDP]]*$AB$5)/$AB$18,0)</f>
        <v>837</v>
      </c>
      <c r="AC54" s="49">
        <f>ROUND($Q$8*(Table24[[#This Row],[SHL_TAR_IDPs]]*$AC$3+Table24[[#This Row],[SHL_TAR_HC]]*$AC$4+Table24[[#This Row],[SHL_TAR_NDP]]*$AC$5)/$AC$18,0)</f>
        <v>65</v>
      </c>
      <c r="AD54" s="49">
        <f>ROUND($Q$8*(Table24[[#This Row],[SHL_TAR_IDPs]]*$AD$3+Table24[[#This Row],[SHL_TAR_HC]]*$AD$4+Table24[[#This Row],[SHL_TAR_NDP]]*$AD$5)/$AD$18,0)</f>
        <v>65</v>
      </c>
      <c r="AE54" s="49">
        <f>ROUND($Q$8*(Table24[[#This Row],[SHL_TAR_IDPs]]*$AE$3+Table24[[#This Row],[SHL_TAR_HC]]*$AE$4+Table24[[#This Row],[SHL_TAR_NDP]]*$AE$5)/$AE$18,0)</f>
        <v>98</v>
      </c>
      <c r="AF54" s="49">
        <f>ROUND($Q$8*(Table24[[#This Row],[SHL_TAR_IDPs]]*$AF$3+Table24[[#This Row],[SHL_TAR_HC]]*$AF$4+Table24[[#This Row],[SHL_TAR_NDP]]*$AF$5)/$AF$18,0)</f>
        <v>197</v>
      </c>
      <c r="AG54" s="49">
        <f>ROUND($Q$8*(Table24[[#This Row],[SHL_TAR_IDPs]]*$AG$3+Table24[[#This Row],[SHL_TAR_HC]]*$AG$4+Table24[[#This Row],[SHL_TAR_NDP]]*$AG$5)/$AG$18,0)</f>
        <v>396</v>
      </c>
      <c r="AH54" s="49">
        <f>ROUND($Q$8*(Table24[[#This Row],[SHL_TAR_IDPs]]*$AH$3+Table24[[#This Row],[SHL_TAR_HC]]*$AH$4+Table24[[#This Row],[SHL_TAR_NDP]]*$AH$5)/$AH$18,0)</f>
        <v>162</v>
      </c>
      <c r="AI54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</row>
    <row r="55" spans="1:35" x14ac:dyDescent="0.55000000000000004">
      <c r="A55" t="s">
        <v>445</v>
      </c>
      <c r="B55" t="s">
        <v>87</v>
      </c>
      <c r="C55" t="s">
        <v>277</v>
      </c>
      <c r="D55" s="58">
        <f>_xlfn.XLOOKUP($B55, 'Prioritization calculation'!D:D, 'Prioritization calculation'!X:X, "")</f>
        <v>2</v>
      </c>
      <c r="E55" s="58">
        <v>3</v>
      </c>
      <c r="F55" s="58">
        <v>3</v>
      </c>
      <c r="G55" s="58" t="s">
        <v>573</v>
      </c>
      <c r="H55" s="58">
        <v>31050</v>
      </c>
      <c r="I55" s="58">
        <v>3700</v>
      </c>
      <c r="J55" s="58">
        <v>0</v>
      </c>
      <c r="K55" s="58">
        <v>1250</v>
      </c>
      <c r="L55" s="58">
        <v>0</v>
      </c>
      <c r="M55" s="58">
        <v>10716</v>
      </c>
      <c r="N55" s="58">
        <v>0</v>
      </c>
      <c r="O55" s="97">
        <f>SUM(Table24[[#This Row],[SHL_PIN_IDPs]:[SHL_PIN_NDP]])</f>
        <v>31242</v>
      </c>
      <c r="P55" s="98">
        <v>13622</v>
      </c>
      <c r="Q55" s="98">
        <v>7330</v>
      </c>
      <c r="R55" s="98">
        <v>10290</v>
      </c>
      <c r="S55" s="98">
        <f>ROUND(SUM(Table24[[#This Row],[SHL_TAR_IDPs]:[SHL_TAR_NDP]]),0)</f>
        <v>9853</v>
      </c>
      <c r="T55" s="48">
        <f>SUM(Table24[[#This Row],[HIDE IDP]:[HIDE NDP]])</f>
        <v>9852.6</v>
      </c>
      <c r="U55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5449</v>
      </c>
      <c r="V55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2345.6</v>
      </c>
      <c r="W55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2058</v>
      </c>
      <c r="X55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5449</v>
      </c>
      <c r="Y55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2345.6</v>
      </c>
      <c r="Z55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2058</v>
      </c>
      <c r="AA55" s="49">
        <f>ROUND($P$8*(Table24[[#This Row],[SHL_TAR_IDPs]]*$AA$3+Table24[[#This Row],[SHL_TAR_HC]]*$AA$4+Table24[[#This Row],[SHL_TAR_NDP]]*$AA$5)/$AA$18,0)</f>
        <v>837</v>
      </c>
      <c r="AB55" s="49">
        <f>ROUND($P$8*(Table24[[#This Row],[SHL_TAR_IDPs]]*$AB$3+Table24[[#This Row],[SHL_TAR_HC]]*$AB$4+Table24[[#This Row],[SHL_TAR_NDP]]*$AB$5)/$AB$18,0)</f>
        <v>837</v>
      </c>
      <c r="AC55" s="49">
        <f>ROUND($Q$8*(Table24[[#This Row],[SHL_TAR_IDPs]]*$AC$3+Table24[[#This Row],[SHL_TAR_HC]]*$AC$4+Table24[[#This Row],[SHL_TAR_NDP]]*$AC$5)/$AC$18,0)</f>
        <v>54</v>
      </c>
      <c r="AD55" s="49">
        <f>ROUND($Q$8*(Table24[[#This Row],[SHL_TAR_IDPs]]*$AD$3+Table24[[#This Row],[SHL_TAR_HC]]*$AD$4+Table24[[#This Row],[SHL_TAR_NDP]]*$AD$5)/$AD$18,0)</f>
        <v>54</v>
      </c>
      <c r="AE55" s="49">
        <f>ROUND($Q$8*(Table24[[#This Row],[SHL_TAR_IDPs]]*$AE$3+Table24[[#This Row],[SHL_TAR_HC]]*$AE$4+Table24[[#This Row],[SHL_TAR_NDP]]*$AE$5)/$AE$18,0)</f>
        <v>99</v>
      </c>
      <c r="AF55" s="49">
        <f>ROUND($Q$8*(Table24[[#This Row],[SHL_TAR_IDPs]]*$AF$3+Table24[[#This Row],[SHL_TAR_HC]]*$AF$4+Table24[[#This Row],[SHL_TAR_NDP]]*$AF$5)/$AF$18,0)</f>
        <v>197</v>
      </c>
      <c r="AG55" s="49">
        <f>ROUND($Q$8*(Table24[[#This Row],[SHL_TAR_IDPs]]*$AG$3+Table24[[#This Row],[SHL_TAR_HC]]*$AG$4+Table24[[#This Row],[SHL_TAR_NDP]]*$AG$5)/$AG$18,0)</f>
        <v>448</v>
      </c>
      <c r="AH55" s="49">
        <f>ROUND($Q$8*(Table24[[#This Row],[SHL_TAR_IDPs]]*$AH$3+Table24[[#This Row],[SHL_TAR_HC]]*$AH$4+Table24[[#This Row],[SHL_TAR_NDP]]*$AH$5)/$AH$18,0)</f>
        <v>132</v>
      </c>
      <c r="AI55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</row>
    <row r="56" spans="1:35" x14ac:dyDescent="0.55000000000000004">
      <c r="A56" t="s">
        <v>445</v>
      </c>
      <c r="B56" t="s">
        <v>88</v>
      </c>
      <c r="C56" t="s">
        <v>278</v>
      </c>
      <c r="D56" s="58">
        <f>_xlfn.XLOOKUP($B56, 'Prioritization calculation'!D:D, 'Prioritization calculation'!X:X, "")</f>
        <v>4</v>
      </c>
      <c r="E56" s="58">
        <v>5</v>
      </c>
      <c r="F56" s="58">
        <v>4</v>
      </c>
      <c r="G56" s="58" t="s">
        <v>573</v>
      </c>
      <c r="H56" s="58">
        <v>100850</v>
      </c>
      <c r="I56" s="58">
        <v>27060</v>
      </c>
      <c r="J56" s="58">
        <v>4440</v>
      </c>
      <c r="K56" s="58">
        <v>3750</v>
      </c>
      <c r="L56" s="58">
        <v>5790</v>
      </c>
      <c r="M56" s="58">
        <v>65462</v>
      </c>
      <c r="N56" s="58">
        <v>40125.882828031812</v>
      </c>
      <c r="O56" s="97">
        <f>SUM(Table24[[#This Row],[SHL_PIN_IDPs]:[SHL_PIN_NDP]])</f>
        <v>150441</v>
      </c>
      <c r="P56" s="98">
        <v>123828</v>
      </c>
      <c r="Q56" s="98">
        <v>26613</v>
      </c>
      <c r="R56" s="98">
        <v>0</v>
      </c>
      <c r="S56" s="98">
        <f>ROUND(SUM(Table24[[#This Row],[SHL_TAR_IDPs]:[SHL_TAR_NDP]]),0)</f>
        <v>58047</v>
      </c>
      <c r="T56" s="48">
        <f>SUM(Table24[[#This Row],[HIDE IDP]:[HIDE NDP]])</f>
        <v>58047</v>
      </c>
      <c r="U56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49531</v>
      </c>
      <c r="V56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8516</v>
      </c>
      <c r="W56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0</v>
      </c>
      <c r="X56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49531</v>
      </c>
      <c r="Y56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8516</v>
      </c>
      <c r="Z56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56" s="49">
        <f>ROUND($P$8*(Table24[[#This Row],[SHL_TAR_IDPs]]*$AA$3+Table24[[#This Row],[SHL_TAR_HC]]*$AA$4+Table24[[#This Row],[SHL_TAR_NDP]]*$AA$5)/$AA$18,0)</f>
        <v>4934</v>
      </c>
      <c r="AB56" s="49">
        <f>ROUND($P$8*(Table24[[#This Row],[SHL_TAR_IDPs]]*$AB$3+Table24[[#This Row],[SHL_TAR_HC]]*$AB$4+Table24[[#This Row],[SHL_TAR_NDP]]*$AB$5)/$AB$18,0)</f>
        <v>4934</v>
      </c>
      <c r="AC56" s="49">
        <f>ROUND($Q$8*(Table24[[#This Row],[SHL_TAR_IDPs]]*$AC$3+Table24[[#This Row],[SHL_TAR_HC]]*$AC$4+Table24[[#This Row],[SHL_TAR_NDP]]*$AC$5)/$AC$18,0)</f>
        <v>495</v>
      </c>
      <c r="AD56" s="49">
        <f>ROUND($Q$8*(Table24[[#This Row],[SHL_TAR_IDPs]]*$AD$3+Table24[[#This Row],[SHL_TAR_HC]]*$AD$4+Table24[[#This Row],[SHL_TAR_NDP]]*$AD$5)/$AD$18,0)</f>
        <v>495</v>
      </c>
      <c r="AE56" s="49">
        <f>ROUND($Q$8*(Table24[[#This Row],[SHL_TAR_IDPs]]*$AE$3+Table24[[#This Row],[SHL_TAR_HC]]*$AE$4+Table24[[#This Row],[SHL_TAR_NDP]]*$AE$5)/$AE$18,0)</f>
        <v>580</v>
      </c>
      <c r="AF56" s="49">
        <f>ROUND($Q$8*(Table24[[#This Row],[SHL_TAR_IDPs]]*$AF$3+Table24[[#This Row],[SHL_TAR_HC]]*$AF$4+Table24[[#This Row],[SHL_TAR_NDP]]*$AF$5)/$AF$18,0)</f>
        <v>1161</v>
      </c>
      <c r="AG56" s="49">
        <f>ROUND($Q$8*(Table24[[#This Row],[SHL_TAR_IDPs]]*$AG$3+Table24[[#This Row],[SHL_TAR_HC]]*$AG$4+Table24[[#This Row],[SHL_TAR_NDP]]*$AG$5)/$AG$18,0)</f>
        <v>1997</v>
      </c>
      <c r="AH56" s="49">
        <f>ROUND($Q$8*(Table24[[#This Row],[SHL_TAR_IDPs]]*$AH$3+Table24[[#This Row],[SHL_TAR_HC]]*$AH$4+Table24[[#This Row],[SHL_TAR_NDP]]*$AH$5)/$AH$18,0)</f>
        <v>1076</v>
      </c>
      <c r="AI56" s="49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>538</v>
      </c>
    </row>
    <row r="57" spans="1:35" x14ac:dyDescent="0.55000000000000004">
      <c r="A57" t="s">
        <v>445</v>
      </c>
      <c r="B57" t="s">
        <v>89</v>
      </c>
      <c r="C57" t="s">
        <v>279</v>
      </c>
      <c r="D57" s="58">
        <f>_xlfn.XLOOKUP($B57, 'Prioritization calculation'!D:D, 'Prioritization calculation'!X:X, "")</f>
        <v>4</v>
      </c>
      <c r="E57" s="58">
        <v>4</v>
      </c>
      <c r="F57" s="58">
        <v>4</v>
      </c>
      <c r="G57" s="58" t="s">
        <v>573</v>
      </c>
      <c r="H57" s="58">
        <v>47125</v>
      </c>
      <c r="I57" s="58">
        <v>810</v>
      </c>
      <c r="J57" s="58">
        <v>0</v>
      </c>
      <c r="K57" s="58"/>
      <c r="L57" s="58">
        <v>0</v>
      </c>
      <c r="M57" s="58">
        <v>14234</v>
      </c>
      <c r="N57" s="58">
        <v>951.11047928513403</v>
      </c>
      <c r="O57" s="97">
        <f>SUM(Table24[[#This Row],[SHL_PIN_IDPs]:[SHL_PIN_NDP]])</f>
        <v>39538</v>
      </c>
      <c r="P57" s="98">
        <v>19929</v>
      </c>
      <c r="Q57" s="98">
        <v>16171</v>
      </c>
      <c r="R57" s="98">
        <v>3438</v>
      </c>
      <c r="S57" s="98">
        <f>ROUND(SUM(Table24[[#This Row],[SHL_TAR_IDPs]:[SHL_TAR_NDP]]),0)</f>
        <v>6917</v>
      </c>
      <c r="T57" s="48">
        <f>SUM(Table24[[#This Row],[HIDE IDP]:[HIDE NDP]])</f>
        <v>6917.2000000000007</v>
      </c>
      <c r="U57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3986</v>
      </c>
      <c r="V57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2587.2000000000003</v>
      </c>
      <c r="W57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344</v>
      </c>
      <c r="X57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3986</v>
      </c>
      <c r="Y57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2587.2000000000003</v>
      </c>
      <c r="Z57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344</v>
      </c>
      <c r="AA57" s="49">
        <f>ROUND($P$8*(Table24[[#This Row],[SHL_TAR_IDPs]]*$AA$3+Table24[[#This Row],[SHL_TAR_HC]]*$AA$4+Table24[[#This Row],[SHL_TAR_NDP]]*$AA$5)/$AA$18,0)</f>
        <v>588</v>
      </c>
      <c r="AB57" s="49">
        <f>ROUND($P$8*(Table24[[#This Row],[SHL_TAR_IDPs]]*$AB$3+Table24[[#This Row],[SHL_TAR_HC]]*$AB$4+Table24[[#This Row],[SHL_TAR_NDP]]*$AB$5)/$AB$18,0)</f>
        <v>588</v>
      </c>
      <c r="AC57" s="49">
        <f>ROUND($Q$8*(Table24[[#This Row],[SHL_TAR_IDPs]]*$AC$3+Table24[[#This Row],[SHL_TAR_HC]]*$AC$4+Table24[[#This Row],[SHL_TAR_NDP]]*$AC$5)/$AC$18,0)</f>
        <v>40</v>
      </c>
      <c r="AD57" s="49">
        <f>ROUND($Q$8*(Table24[[#This Row],[SHL_TAR_IDPs]]*$AD$3+Table24[[#This Row],[SHL_TAR_HC]]*$AD$4+Table24[[#This Row],[SHL_TAR_NDP]]*$AD$5)/$AD$18,0)</f>
        <v>40</v>
      </c>
      <c r="AE57" s="49">
        <f>ROUND($Q$8*(Table24[[#This Row],[SHL_TAR_IDPs]]*$AE$3+Table24[[#This Row],[SHL_TAR_HC]]*$AE$4+Table24[[#This Row],[SHL_TAR_NDP]]*$AE$5)/$AE$18,0)</f>
        <v>69</v>
      </c>
      <c r="AF57" s="49">
        <f>ROUND($Q$8*(Table24[[#This Row],[SHL_TAR_IDPs]]*$AF$3+Table24[[#This Row],[SHL_TAR_HC]]*$AF$4+Table24[[#This Row],[SHL_TAR_NDP]]*$AF$5)/$AF$18,0)</f>
        <v>138</v>
      </c>
      <c r="AG57" s="49">
        <f>ROUND($Q$8*(Table24[[#This Row],[SHL_TAR_IDPs]]*$AG$3+Table24[[#This Row],[SHL_TAR_HC]]*$AG$4+Table24[[#This Row],[SHL_TAR_NDP]]*$AG$5)/$AG$18,0)</f>
        <v>299</v>
      </c>
      <c r="AH57" s="49">
        <f>ROUND($Q$8*(Table24[[#This Row],[SHL_TAR_IDPs]]*$AH$3+Table24[[#This Row],[SHL_TAR_HC]]*$AH$4+Table24[[#This Row],[SHL_TAR_NDP]]*$AH$5)/$AH$18,0)</f>
        <v>106</v>
      </c>
      <c r="AI57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</row>
    <row r="58" spans="1:35" x14ac:dyDescent="0.55000000000000004">
      <c r="A58" t="s">
        <v>445</v>
      </c>
      <c r="B58" t="s">
        <v>90</v>
      </c>
      <c r="C58" t="s">
        <v>280</v>
      </c>
      <c r="D58" s="58">
        <f>_xlfn.XLOOKUP($B58, 'Prioritization calculation'!D:D, 'Prioritization calculation'!X:X, "")</f>
        <v>2</v>
      </c>
      <c r="E58" s="58">
        <v>4</v>
      </c>
      <c r="F58" s="58">
        <v>4</v>
      </c>
      <c r="G58" s="58" t="s">
        <v>573</v>
      </c>
      <c r="H58" s="58">
        <v>35750</v>
      </c>
      <c r="I58" s="58">
        <v>12820</v>
      </c>
      <c r="J58" s="58">
        <v>0</v>
      </c>
      <c r="K58" s="58">
        <v>2500</v>
      </c>
      <c r="L58" s="58">
        <v>22765</v>
      </c>
      <c r="M58" s="58">
        <v>11860</v>
      </c>
      <c r="N58" s="58">
        <v>3548.9570552147243</v>
      </c>
      <c r="O58" s="97">
        <f>SUM(Table24[[#This Row],[SHL_PIN_IDPs]:[SHL_PIN_NDP]])</f>
        <v>37817</v>
      </c>
      <c r="P58" s="98">
        <v>24792</v>
      </c>
      <c r="Q58" s="98">
        <v>2381</v>
      </c>
      <c r="R58" s="98">
        <v>10644</v>
      </c>
      <c r="S58" s="98">
        <f>ROUND(SUM(Table24[[#This Row],[SHL_TAR_IDPs]:[SHL_TAR_NDP]]),0)</f>
        <v>19211</v>
      </c>
      <c r="T58" s="48">
        <f>SUM(Table24[[#This Row],[HIDE IDP]:[HIDE NDP]])</f>
        <v>19211.2</v>
      </c>
      <c r="U58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14875</v>
      </c>
      <c r="V58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1143.2</v>
      </c>
      <c r="W58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3193</v>
      </c>
      <c r="X58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14875</v>
      </c>
      <c r="Y58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1143.2</v>
      </c>
      <c r="Z58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3193</v>
      </c>
      <c r="AA58" s="49">
        <f>ROUND($P$8*(Table24[[#This Row],[SHL_TAR_IDPs]]*$AA$3+Table24[[#This Row],[SHL_TAR_HC]]*$AA$4+Table24[[#This Row],[SHL_TAR_NDP]]*$AA$5)/$AA$18,0)</f>
        <v>1633</v>
      </c>
      <c r="AB58" s="49">
        <f>ROUND($P$8*(Table24[[#This Row],[SHL_TAR_IDPs]]*$AB$3+Table24[[#This Row],[SHL_TAR_HC]]*$AB$4+Table24[[#This Row],[SHL_TAR_NDP]]*$AB$5)/$AB$18,0)</f>
        <v>1633</v>
      </c>
      <c r="AC58" s="49">
        <f>ROUND($Q$8*(Table24[[#This Row],[SHL_TAR_IDPs]]*$AC$3+Table24[[#This Row],[SHL_TAR_HC]]*$AC$4+Table24[[#This Row],[SHL_TAR_NDP]]*$AC$5)/$AC$18,0)</f>
        <v>149</v>
      </c>
      <c r="AD58" s="49">
        <f>ROUND($Q$8*(Table24[[#This Row],[SHL_TAR_IDPs]]*$AD$3+Table24[[#This Row],[SHL_TAR_HC]]*$AD$4+Table24[[#This Row],[SHL_TAR_NDP]]*$AD$5)/$AD$18,0)</f>
        <v>149</v>
      </c>
      <c r="AE58" s="49">
        <f>ROUND($Q$8*(Table24[[#This Row],[SHL_TAR_IDPs]]*$AE$3+Table24[[#This Row],[SHL_TAR_HC]]*$AE$4+Table24[[#This Row],[SHL_TAR_NDP]]*$AE$5)/$AE$18,0)</f>
        <v>192</v>
      </c>
      <c r="AF58" s="49">
        <f>ROUND($Q$8*(Table24[[#This Row],[SHL_TAR_IDPs]]*$AF$3+Table24[[#This Row],[SHL_TAR_HC]]*$AF$4+Table24[[#This Row],[SHL_TAR_NDP]]*$AF$5)/$AF$18,0)</f>
        <v>384</v>
      </c>
      <c r="AG58" s="49">
        <f>ROUND($Q$8*(Table24[[#This Row],[SHL_TAR_IDPs]]*$AG$3+Table24[[#This Row],[SHL_TAR_HC]]*$AG$4+Table24[[#This Row],[SHL_TAR_NDP]]*$AG$5)/$AG$18,0)</f>
        <v>738</v>
      </c>
      <c r="AH58" s="49">
        <f>ROUND($Q$8*(Table24[[#This Row],[SHL_TAR_IDPs]]*$AH$3+Table24[[#This Row],[SHL_TAR_HC]]*$AH$4+Table24[[#This Row],[SHL_TAR_NDP]]*$AH$5)/$AH$18,0)</f>
        <v>309</v>
      </c>
      <c r="AI58" s="49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>170</v>
      </c>
    </row>
    <row r="59" spans="1:35" x14ac:dyDescent="0.55000000000000004">
      <c r="A59" t="s">
        <v>445</v>
      </c>
      <c r="B59" t="s">
        <v>91</v>
      </c>
      <c r="C59" t="s">
        <v>281</v>
      </c>
      <c r="D59" s="58">
        <f>_xlfn.XLOOKUP($B59, 'Prioritization calculation'!D:D, 'Prioritization calculation'!X:X, "")</f>
        <v>4</v>
      </c>
      <c r="E59" s="58">
        <v>3</v>
      </c>
      <c r="F59" s="58">
        <v>4</v>
      </c>
      <c r="G59" s="58" t="s">
        <v>573</v>
      </c>
      <c r="H59" s="58">
        <v>3750</v>
      </c>
      <c r="I59" s="98">
        <v>19235</v>
      </c>
      <c r="J59" s="58">
        <v>0</v>
      </c>
      <c r="K59" s="58"/>
      <c r="L59" s="58">
        <v>0</v>
      </c>
      <c r="M59" s="58">
        <v>3151</v>
      </c>
      <c r="N59" s="58">
        <v>2679.7767857142862</v>
      </c>
      <c r="O59" s="97">
        <f>SUM(Table24[[#This Row],[SHL_PIN_IDPs]:[SHL_PIN_NDP]])</f>
        <v>16224</v>
      </c>
      <c r="P59" s="98">
        <v>2244</v>
      </c>
      <c r="Q59" s="98">
        <v>3275</v>
      </c>
      <c r="R59" s="98">
        <v>10705</v>
      </c>
      <c r="S59" s="98">
        <f>ROUND(SUM(Table24[[#This Row],[SHL_TAR_IDPs]:[SHL_TAR_NDP]]),0)</f>
        <v>1022</v>
      </c>
      <c r="T59" s="48">
        <f>SUM(Table24[[#This Row],[HIDE IDP]:[HIDE NDP]])</f>
        <v>1021.9000000000001</v>
      </c>
      <c r="U59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224</v>
      </c>
      <c r="V59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262.40000000000003</v>
      </c>
      <c r="W59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535.5</v>
      </c>
      <c r="X59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224</v>
      </c>
      <c r="Y59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262.40000000000003</v>
      </c>
      <c r="Z59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535.5</v>
      </c>
      <c r="AA59" s="49">
        <f>ROUND($P$8*(Table24[[#This Row],[SHL_TAR_IDPs]]*$AA$3+Table24[[#This Row],[SHL_TAR_HC]]*$AA$4+Table24[[#This Row],[SHL_TAR_NDP]]*$AA$5)/$AA$18,0)</f>
        <v>87</v>
      </c>
      <c r="AB59" s="49">
        <f>ROUND($P$8*(Table24[[#This Row],[SHL_TAR_IDPs]]*$AB$3+Table24[[#This Row],[SHL_TAR_HC]]*$AB$4+Table24[[#This Row],[SHL_TAR_NDP]]*$AB$5)/$AB$18,0)</f>
        <v>87</v>
      </c>
      <c r="AC59" s="49">
        <f>ROUND($Q$8*(Table24[[#This Row],[SHL_TAR_IDPs]]*$AC$3+Table24[[#This Row],[SHL_TAR_HC]]*$AC$4+Table24[[#This Row],[SHL_TAR_NDP]]*$AC$5)/$AC$18,0)</f>
        <v>2</v>
      </c>
      <c r="AD59" s="49">
        <f>ROUND($Q$8*(Table24[[#This Row],[SHL_TAR_IDPs]]*$AD$3+Table24[[#This Row],[SHL_TAR_HC]]*$AD$4+Table24[[#This Row],[SHL_TAR_NDP]]*$AD$5)/$AD$18,0)</f>
        <v>2</v>
      </c>
      <c r="AE59" s="49">
        <f>ROUND($Q$8*(Table24[[#This Row],[SHL_TAR_IDPs]]*$AE$3+Table24[[#This Row],[SHL_TAR_HC]]*$AE$4+Table24[[#This Row],[SHL_TAR_NDP]]*$AE$5)/$AE$18,0)</f>
        <v>10</v>
      </c>
      <c r="AF59" s="49">
        <f>ROUND($Q$8*(Table24[[#This Row],[SHL_TAR_IDPs]]*$AF$3+Table24[[#This Row],[SHL_TAR_HC]]*$AF$4+Table24[[#This Row],[SHL_TAR_NDP]]*$AF$5)/$AF$18,0)</f>
        <v>20</v>
      </c>
      <c r="AG59" s="49">
        <f>ROUND($Q$8*(Table24[[#This Row],[SHL_TAR_IDPs]]*$AG$3+Table24[[#This Row],[SHL_TAR_HC]]*$AG$4+Table24[[#This Row],[SHL_TAR_NDP]]*$AG$5)/$AG$18,0)</f>
        <v>60</v>
      </c>
      <c r="AH59" s="49">
        <f>ROUND($Q$8*(Table24[[#This Row],[SHL_TAR_IDPs]]*$AH$3+Table24[[#This Row],[SHL_TAR_HC]]*$AH$4+Table24[[#This Row],[SHL_TAR_NDP]]*$AH$5)/$AH$18,0)</f>
        <v>7</v>
      </c>
      <c r="AI59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</row>
    <row r="60" spans="1:35" x14ac:dyDescent="0.55000000000000004">
      <c r="A60" t="s">
        <v>445</v>
      </c>
      <c r="B60" t="s">
        <v>92</v>
      </c>
      <c r="C60" t="s">
        <v>282</v>
      </c>
      <c r="D60" s="58">
        <f>_xlfn.XLOOKUP($B60, 'Prioritization calculation'!D:D, 'Prioritization calculation'!X:X, "")</f>
        <v>4</v>
      </c>
      <c r="E60" s="58">
        <v>4</v>
      </c>
      <c r="F60" s="58">
        <v>4</v>
      </c>
      <c r="G60" s="58" t="s">
        <v>573</v>
      </c>
      <c r="H60" s="58">
        <v>51420</v>
      </c>
      <c r="I60" s="58">
        <v>166535</v>
      </c>
      <c r="J60" s="58">
        <v>0</v>
      </c>
      <c r="K60" s="58"/>
      <c r="L60" s="58">
        <v>0</v>
      </c>
      <c r="M60" s="58">
        <v>15146</v>
      </c>
      <c r="N60" s="58">
        <v>0</v>
      </c>
      <c r="O60" s="97">
        <f>SUM(Table24[[#This Row],[SHL_PIN_IDPs]:[SHL_PIN_NDP]])</f>
        <v>59763</v>
      </c>
      <c r="P60" s="98">
        <v>29952</v>
      </c>
      <c r="Q60" s="98">
        <v>25432</v>
      </c>
      <c r="R60" s="98">
        <v>4379</v>
      </c>
      <c r="S60" s="98">
        <f>ROUND(SUM(Table24[[#This Row],[SHL_TAR_IDPs]:[SHL_TAR_NDP]]),0)</f>
        <v>10497</v>
      </c>
      <c r="T60" s="48">
        <f>SUM(Table24[[#This Row],[HIDE IDP]:[HIDE NDP]])</f>
        <v>10496.8</v>
      </c>
      <c r="U60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5990</v>
      </c>
      <c r="V60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4068.8</v>
      </c>
      <c r="W60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438</v>
      </c>
      <c r="X60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5990</v>
      </c>
      <c r="Y60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4068.8</v>
      </c>
      <c r="Z60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438</v>
      </c>
      <c r="AA60" s="49">
        <f>ROUND($P$8*(Table24[[#This Row],[SHL_TAR_IDPs]]*$AA$3+Table24[[#This Row],[SHL_TAR_HC]]*$AA$4+Table24[[#This Row],[SHL_TAR_NDP]]*$AA$5)/$AA$18,0)</f>
        <v>892</v>
      </c>
      <c r="AB60" s="49">
        <f>ROUND($P$8*(Table24[[#This Row],[SHL_TAR_IDPs]]*$AB$3+Table24[[#This Row],[SHL_TAR_HC]]*$AB$4+Table24[[#This Row],[SHL_TAR_NDP]]*$AB$5)/$AB$18,0)</f>
        <v>892</v>
      </c>
      <c r="AC60" s="49">
        <f>ROUND($Q$8*(Table24[[#This Row],[SHL_TAR_IDPs]]*$AC$3+Table24[[#This Row],[SHL_TAR_HC]]*$AC$4+Table24[[#This Row],[SHL_TAR_NDP]]*$AC$5)/$AC$18,0)</f>
        <v>60</v>
      </c>
      <c r="AD60" s="49">
        <f>ROUND($Q$8*(Table24[[#This Row],[SHL_TAR_IDPs]]*$AD$3+Table24[[#This Row],[SHL_TAR_HC]]*$AD$4+Table24[[#This Row],[SHL_TAR_NDP]]*$AD$5)/$AD$18,0)</f>
        <v>60</v>
      </c>
      <c r="AE60" s="49">
        <f>ROUND($Q$8*(Table24[[#This Row],[SHL_TAR_IDPs]]*$AE$3+Table24[[#This Row],[SHL_TAR_HC]]*$AE$4+Table24[[#This Row],[SHL_TAR_NDP]]*$AE$5)/$AE$18,0)</f>
        <v>105</v>
      </c>
      <c r="AF60" s="49">
        <f>ROUND($Q$8*(Table24[[#This Row],[SHL_TAR_IDPs]]*$AF$3+Table24[[#This Row],[SHL_TAR_HC]]*$AF$4+Table24[[#This Row],[SHL_TAR_NDP]]*$AF$5)/$AF$18,0)</f>
        <v>210</v>
      </c>
      <c r="AG60" s="49">
        <f>ROUND($Q$8*(Table24[[#This Row],[SHL_TAR_IDPs]]*$AG$3+Table24[[#This Row],[SHL_TAR_HC]]*$AG$4+Table24[[#This Row],[SHL_TAR_NDP]]*$AG$5)/$AG$18,0)</f>
        <v>454</v>
      </c>
      <c r="AH60" s="49">
        <f>ROUND($Q$8*(Table24[[#This Row],[SHL_TAR_IDPs]]*$AH$3+Table24[[#This Row],[SHL_TAR_HC]]*$AH$4+Table24[[#This Row],[SHL_TAR_NDP]]*$AH$5)/$AH$18,0)</f>
        <v>160</v>
      </c>
      <c r="AI60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</row>
    <row r="61" spans="1:35" x14ac:dyDescent="0.55000000000000004">
      <c r="A61" t="s">
        <v>445</v>
      </c>
      <c r="B61" t="s">
        <v>93</v>
      </c>
      <c r="C61" t="s">
        <v>283</v>
      </c>
      <c r="D61" s="58">
        <f>_xlfn.XLOOKUP($B61, 'Prioritization calculation'!D:D, 'Prioritization calculation'!X:X, "")</f>
        <v>4</v>
      </c>
      <c r="E61" s="58">
        <v>4</v>
      </c>
      <c r="F61" s="58">
        <v>4</v>
      </c>
      <c r="G61" s="58" t="s">
        <v>573</v>
      </c>
      <c r="H61" s="58">
        <v>82430</v>
      </c>
      <c r="I61" s="58">
        <v>0</v>
      </c>
      <c r="J61" s="58">
        <v>0</v>
      </c>
      <c r="K61" s="58"/>
      <c r="L61" s="58">
        <v>0</v>
      </c>
      <c r="M61" s="58">
        <v>20448</v>
      </c>
      <c r="N61" s="58">
        <v>2636.1366590835232</v>
      </c>
      <c r="O61" s="97">
        <f>SUM(Table24[[#This Row],[SHL_PIN_IDPs]:[SHL_PIN_NDP]])</f>
        <v>55328</v>
      </c>
      <c r="P61" s="98">
        <v>46395</v>
      </c>
      <c r="Q61" s="98">
        <v>806</v>
      </c>
      <c r="R61" s="98">
        <v>8127</v>
      </c>
      <c r="S61" s="98">
        <f>ROUND(SUM(Table24[[#This Row],[SHL_TAR_IDPs]:[SHL_TAR_NDP]]),0)</f>
        <v>10220</v>
      </c>
      <c r="T61" s="48">
        <f>SUM(Table24[[#This Row],[HIDE IDP]:[HIDE NDP]])</f>
        <v>10220.299999999999</v>
      </c>
      <c r="U61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9279</v>
      </c>
      <c r="V61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128.80000000000001</v>
      </c>
      <c r="W61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812.5</v>
      </c>
      <c r="X61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9279</v>
      </c>
      <c r="Y61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128.80000000000001</v>
      </c>
      <c r="Z61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812.5</v>
      </c>
      <c r="AA61" s="49">
        <f>ROUND($P$8*(Table24[[#This Row],[SHL_TAR_IDPs]]*$AA$3+Table24[[#This Row],[SHL_TAR_HC]]*$AA$4+Table24[[#This Row],[SHL_TAR_NDP]]*$AA$5)/$AA$18,0)</f>
        <v>869</v>
      </c>
      <c r="AB61" s="49">
        <f>ROUND($P$8*(Table24[[#This Row],[SHL_TAR_IDPs]]*$AB$3+Table24[[#This Row],[SHL_TAR_HC]]*$AB$4+Table24[[#This Row],[SHL_TAR_NDP]]*$AB$5)/$AB$18,0)</f>
        <v>869</v>
      </c>
      <c r="AC61" s="49">
        <f>ROUND($Q$8*(Table24[[#This Row],[SHL_TAR_IDPs]]*$AC$3+Table24[[#This Row],[SHL_TAR_HC]]*$AC$4+Table24[[#This Row],[SHL_TAR_NDP]]*$AC$5)/$AC$18,0)</f>
        <v>93</v>
      </c>
      <c r="AD61" s="49">
        <f>ROUND($Q$8*(Table24[[#This Row],[SHL_TAR_IDPs]]*$AD$3+Table24[[#This Row],[SHL_TAR_HC]]*$AD$4+Table24[[#This Row],[SHL_TAR_NDP]]*$AD$5)/$AD$18,0)</f>
        <v>93</v>
      </c>
      <c r="AE61" s="49">
        <f>ROUND($Q$8*(Table24[[#This Row],[SHL_TAR_IDPs]]*$AE$3+Table24[[#This Row],[SHL_TAR_HC]]*$AE$4+Table24[[#This Row],[SHL_TAR_NDP]]*$AE$5)/$AE$18,0)</f>
        <v>102</v>
      </c>
      <c r="AF61" s="49">
        <f>ROUND($Q$8*(Table24[[#This Row],[SHL_TAR_IDPs]]*$AF$3+Table24[[#This Row],[SHL_TAR_HC]]*$AF$4+Table24[[#This Row],[SHL_TAR_NDP]]*$AF$5)/$AF$18,0)</f>
        <v>204</v>
      </c>
      <c r="AG61" s="49">
        <f>ROUND($Q$8*(Table24[[#This Row],[SHL_TAR_IDPs]]*$AG$3+Table24[[#This Row],[SHL_TAR_HC]]*$AG$4+Table24[[#This Row],[SHL_TAR_NDP]]*$AG$5)/$AG$18,0)</f>
        <v>343</v>
      </c>
      <c r="AH61" s="49">
        <f>ROUND($Q$8*(Table24[[#This Row],[SHL_TAR_IDPs]]*$AH$3+Table24[[#This Row],[SHL_TAR_HC]]*$AH$4+Table24[[#This Row],[SHL_TAR_NDP]]*$AH$5)/$AH$18,0)</f>
        <v>187</v>
      </c>
      <c r="AI61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</row>
    <row r="62" spans="1:35" x14ac:dyDescent="0.55000000000000004">
      <c r="A62" t="s">
        <v>445</v>
      </c>
      <c r="B62" t="s">
        <v>94</v>
      </c>
      <c r="C62" t="s">
        <v>284</v>
      </c>
      <c r="D62" s="58">
        <f>_xlfn.XLOOKUP($B62, 'Prioritization calculation'!D:D, 'Prioritization calculation'!X:X, "")</f>
        <v>2</v>
      </c>
      <c r="E62" s="58">
        <v>4</v>
      </c>
      <c r="F62" s="58">
        <v>4</v>
      </c>
      <c r="G62" s="58" t="s">
        <v>573</v>
      </c>
      <c r="H62" s="58">
        <v>72835</v>
      </c>
      <c r="I62" s="58">
        <v>9550</v>
      </c>
      <c r="J62" s="58">
        <v>2150</v>
      </c>
      <c r="K62" s="58"/>
      <c r="L62" s="58">
        <v>0</v>
      </c>
      <c r="M62" s="58">
        <v>17386</v>
      </c>
      <c r="N62" s="58">
        <v>978.73239544895443</v>
      </c>
      <c r="O62" s="97">
        <f>SUM(Table24[[#This Row],[SHL_PIN_IDPs]:[SHL_PIN_NDP]])</f>
        <v>39946</v>
      </c>
      <c r="P62" s="98">
        <v>39073</v>
      </c>
      <c r="Q62" s="98">
        <v>873</v>
      </c>
      <c r="R62" s="98">
        <v>0</v>
      </c>
      <c r="S62" s="98">
        <f>ROUND(SUM(Table24[[#This Row],[SHL_TAR_IDPs]:[SHL_TAR_NDP]]),0)</f>
        <v>23863</v>
      </c>
      <c r="T62" s="48">
        <f>SUM(Table24[[#This Row],[HIDE IDP]:[HIDE NDP]])</f>
        <v>23863.200000000001</v>
      </c>
      <c r="U62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23444</v>
      </c>
      <c r="V62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419.20000000000005</v>
      </c>
      <c r="W62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0</v>
      </c>
      <c r="X62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23444</v>
      </c>
      <c r="Y62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419.20000000000005</v>
      </c>
      <c r="Z62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62" s="49">
        <f>ROUND($P$8*(Table24[[#This Row],[SHL_TAR_IDPs]]*$AA$3+Table24[[#This Row],[SHL_TAR_HC]]*$AA$4+Table24[[#This Row],[SHL_TAR_NDP]]*$AA$5)/$AA$18,0)</f>
        <v>2028</v>
      </c>
      <c r="AB62" s="49">
        <f>ROUND($P$8*(Table24[[#This Row],[SHL_TAR_IDPs]]*$AB$3+Table24[[#This Row],[SHL_TAR_HC]]*$AB$4+Table24[[#This Row],[SHL_TAR_NDP]]*$AB$5)/$AB$18,0)</f>
        <v>2028</v>
      </c>
      <c r="AC62" s="49">
        <f>ROUND($Q$8*(Table24[[#This Row],[SHL_TAR_IDPs]]*$AC$3+Table24[[#This Row],[SHL_TAR_HC]]*$AC$4+Table24[[#This Row],[SHL_TAR_NDP]]*$AC$5)/$AC$18,0)</f>
        <v>234</v>
      </c>
      <c r="AD62" s="49">
        <f>ROUND($Q$8*(Table24[[#This Row],[SHL_TAR_IDPs]]*$AD$3+Table24[[#This Row],[SHL_TAR_HC]]*$AD$4+Table24[[#This Row],[SHL_TAR_NDP]]*$AD$5)/$AD$18,0)</f>
        <v>234</v>
      </c>
      <c r="AE62" s="49">
        <f>ROUND($Q$8*(Table24[[#This Row],[SHL_TAR_IDPs]]*$AE$3+Table24[[#This Row],[SHL_TAR_HC]]*$AE$4+Table24[[#This Row],[SHL_TAR_NDP]]*$AE$5)/$AE$18,0)</f>
        <v>239</v>
      </c>
      <c r="AF62" s="49">
        <f>ROUND($Q$8*(Table24[[#This Row],[SHL_TAR_IDPs]]*$AF$3+Table24[[#This Row],[SHL_TAR_HC]]*$AF$4+Table24[[#This Row],[SHL_TAR_NDP]]*$AF$5)/$AF$18,0)</f>
        <v>477</v>
      </c>
      <c r="AG62" s="49">
        <f>ROUND($Q$8*(Table24[[#This Row],[SHL_TAR_IDPs]]*$AG$3+Table24[[#This Row],[SHL_TAR_HC]]*$AG$4+Table24[[#This Row],[SHL_TAR_NDP]]*$AG$5)/$AG$18,0)</f>
        <v>728</v>
      </c>
      <c r="AH62" s="49">
        <f>ROUND($Q$8*(Table24[[#This Row],[SHL_TAR_IDPs]]*$AH$3+Table24[[#This Row],[SHL_TAR_HC]]*$AH$4+Table24[[#This Row],[SHL_TAR_NDP]]*$AH$5)/$AH$18,0)</f>
        <v>473</v>
      </c>
      <c r="AI62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</row>
    <row r="63" spans="1:35" x14ac:dyDescent="0.55000000000000004">
      <c r="A63" t="s">
        <v>446</v>
      </c>
      <c r="B63" t="s">
        <v>95</v>
      </c>
      <c r="C63" t="s">
        <v>285</v>
      </c>
      <c r="D63" s="58">
        <f>_xlfn.XLOOKUP($B63, 'Prioritization calculation'!D:D, 'Prioritization calculation'!X:X, "")</f>
        <v>2</v>
      </c>
      <c r="E63" s="58">
        <v>2</v>
      </c>
      <c r="F63" s="58">
        <v>3</v>
      </c>
      <c r="G63" s="58" t="s">
        <v>521</v>
      </c>
      <c r="H63" s="58">
        <v>2966</v>
      </c>
      <c r="I63" s="58">
        <v>0</v>
      </c>
      <c r="J63" s="58">
        <v>0</v>
      </c>
      <c r="K63" s="58"/>
      <c r="L63" s="58">
        <v>25</v>
      </c>
      <c r="M63" s="58">
        <v>4086</v>
      </c>
      <c r="N63" s="58">
        <v>403.7150281507146</v>
      </c>
      <c r="O63" s="97">
        <f>SUM(Table24[[#This Row],[SHL_PIN_IDPs]:[SHL_PIN_NDP]])</f>
        <v>0</v>
      </c>
      <c r="P63" s="98">
        <v>0</v>
      </c>
      <c r="Q63" s="98">
        <v>0</v>
      </c>
      <c r="R63" s="98">
        <v>0</v>
      </c>
      <c r="S63" s="98">
        <f>ROUND(SUM(Table24[[#This Row],[SHL_TAR_IDPs]:[SHL_TAR_NDP]]),0)</f>
        <v>0</v>
      </c>
      <c r="T63" s="48">
        <f>SUM(Table24[[#This Row],[HIDE IDP]:[HIDE NDP]])</f>
        <v>0</v>
      </c>
      <c r="U63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0</v>
      </c>
      <c r="V63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0</v>
      </c>
      <c r="W63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0</v>
      </c>
      <c r="X63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0</v>
      </c>
      <c r="Y63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0</v>
      </c>
      <c r="Z63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63" s="49">
        <f>ROUND($P$8*(Table24[[#This Row],[SHL_TAR_IDPs]]*$AA$3+Table24[[#This Row],[SHL_TAR_HC]]*$AA$4+Table24[[#This Row],[SHL_TAR_NDP]]*$AA$5)/$AA$18,0)</f>
        <v>0</v>
      </c>
      <c r="AB63" s="49">
        <f>ROUND($P$8*(Table24[[#This Row],[SHL_TAR_IDPs]]*$AB$3+Table24[[#This Row],[SHL_TAR_HC]]*$AB$4+Table24[[#This Row],[SHL_TAR_NDP]]*$AB$5)/$AB$18,0)</f>
        <v>0</v>
      </c>
      <c r="AC63" s="49">
        <f>ROUND($Q$8*(Table24[[#This Row],[SHL_TAR_IDPs]]*$AC$3+Table24[[#This Row],[SHL_TAR_HC]]*$AC$4+Table24[[#This Row],[SHL_TAR_NDP]]*$AC$5)/$AC$18,0)</f>
        <v>0</v>
      </c>
      <c r="AD63" s="49">
        <f>ROUND($Q$8*(Table24[[#This Row],[SHL_TAR_IDPs]]*$AD$3+Table24[[#This Row],[SHL_TAR_HC]]*$AD$4+Table24[[#This Row],[SHL_TAR_NDP]]*$AD$5)/$AD$18,0)</f>
        <v>0</v>
      </c>
      <c r="AE63" s="49">
        <f>ROUND($Q$8*(Table24[[#This Row],[SHL_TAR_IDPs]]*$AE$3+Table24[[#This Row],[SHL_TAR_HC]]*$AE$4+Table24[[#This Row],[SHL_TAR_NDP]]*$AE$5)/$AE$18,0)</f>
        <v>0</v>
      </c>
      <c r="AF63" s="49">
        <f>ROUND($Q$8*(Table24[[#This Row],[SHL_TAR_IDPs]]*$AF$3+Table24[[#This Row],[SHL_TAR_HC]]*$AF$4+Table24[[#This Row],[SHL_TAR_NDP]]*$AF$5)/$AF$18,0)</f>
        <v>0</v>
      </c>
      <c r="AG63" s="49">
        <f>ROUND($Q$8*(Table24[[#This Row],[SHL_TAR_IDPs]]*$AG$3+Table24[[#This Row],[SHL_TAR_HC]]*$AG$4+Table24[[#This Row],[SHL_TAR_NDP]]*$AG$5)/$AG$18,0)</f>
        <v>0</v>
      </c>
      <c r="AH63" s="49">
        <f>ROUND($Q$8*(Table24[[#This Row],[SHL_TAR_IDPs]]*$AH$3+Table24[[#This Row],[SHL_TAR_HC]]*$AH$4+Table24[[#This Row],[SHL_TAR_NDP]]*$AH$5)/$AH$18,0)</f>
        <v>0</v>
      </c>
      <c r="AI63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</row>
    <row r="64" spans="1:35" x14ac:dyDescent="0.55000000000000004">
      <c r="A64" t="s">
        <v>446</v>
      </c>
      <c r="B64" t="s">
        <v>96</v>
      </c>
      <c r="C64" t="s">
        <v>286</v>
      </c>
      <c r="D64" s="58">
        <f>_xlfn.XLOOKUP($B64, 'Prioritization calculation'!D:D, 'Prioritization calculation'!X:X, "")</f>
        <v>1</v>
      </c>
      <c r="E64" s="58">
        <v>2</v>
      </c>
      <c r="F64" s="58">
        <v>3</v>
      </c>
      <c r="G64" s="58" t="s">
        <v>521</v>
      </c>
      <c r="H64" s="58">
        <v>12670</v>
      </c>
      <c r="I64" s="58">
        <v>28970</v>
      </c>
      <c r="J64" s="58">
        <v>0</v>
      </c>
      <c r="K64" s="58">
        <v>9635</v>
      </c>
      <c r="L64" s="58">
        <v>45270</v>
      </c>
      <c r="M64" s="58">
        <v>7780</v>
      </c>
      <c r="N64" s="58">
        <v>0</v>
      </c>
      <c r="O64" s="97">
        <f>SUM(Table24[[#This Row],[SHL_PIN_IDPs]:[SHL_PIN_NDP]])</f>
        <v>0</v>
      </c>
      <c r="P64" s="98">
        <v>0</v>
      </c>
      <c r="Q64" s="98">
        <v>0</v>
      </c>
      <c r="R64" s="98">
        <v>0</v>
      </c>
      <c r="S64" s="98">
        <f>ROUND(SUM(Table24[[#This Row],[SHL_TAR_IDPs]:[SHL_TAR_NDP]]),0)</f>
        <v>0</v>
      </c>
      <c r="T64" s="48">
        <f>SUM(Table24[[#This Row],[HIDE IDP]:[HIDE NDP]])</f>
        <v>0</v>
      </c>
      <c r="U64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0</v>
      </c>
      <c r="V64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0</v>
      </c>
      <c r="W64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0</v>
      </c>
      <c r="X64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0</v>
      </c>
      <c r="Y64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0</v>
      </c>
      <c r="Z64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64" s="49">
        <f>ROUND($P$8*(Table24[[#This Row],[SHL_TAR_IDPs]]*$AA$3+Table24[[#This Row],[SHL_TAR_HC]]*$AA$4+Table24[[#This Row],[SHL_TAR_NDP]]*$AA$5)/$AA$18,0)</f>
        <v>0</v>
      </c>
      <c r="AB64" s="49">
        <f>ROUND($P$8*(Table24[[#This Row],[SHL_TAR_IDPs]]*$AB$3+Table24[[#This Row],[SHL_TAR_HC]]*$AB$4+Table24[[#This Row],[SHL_TAR_NDP]]*$AB$5)/$AB$18,0)</f>
        <v>0</v>
      </c>
      <c r="AC64" s="49">
        <f>ROUND($Q$8*(Table24[[#This Row],[SHL_TAR_IDPs]]*$AC$3+Table24[[#This Row],[SHL_TAR_HC]]*$AC$4+Table24[[#This Row],[SHL_TAR_NDP]]*$AC$5)/$AC$18,0)</f>
        <v>0</v>
      </c>
      <c r="AD64" s="49">
        <f>ROUND($Q$8*(Table24[[#This Row],[SHL_TAR_IDPs]]*$AD$3+Table24[[#This Row],[SHL_TAR_HC]]*$AD$4+Table24[[#This Row],[SHL_TAR_NDP]]*$AD$5)/$AD$18,0)</f>
        <v>0</v>
      </c>
      <c r="AE64" s="49">
        <f>ROUND($Q$8*(Table24[[#This Row],[SHL_TAR_IDPs]]*$AE$3+Table24[[#This Row],[SHL_TAR_HC]]*$AE$4+Table24[[#This Row],[SHL_TAR_NDP]]*$AE$5)/$AE$18,0)</f>
        <v>0</v>
      </c>
      <c r="AF64" s="49">
        <f>ROUND($Q$8*(Table24[[#This Row],[SHL_TAR_IDPs]]*$AF$3+Table24[[#This Row],[SHL_TAR_HC]]*$AF$4+Table24[[#This Row],[SHL_TAR_NDP]]*$AF$5)/$AF$18,0)</f>
        <v>0</v>
      </c>
      <c r="AG64" s="49">
        <f>ROUND($Q$8*(Table24[[#This Row],[SHL_TAR_IDPs]]*$AG$3+Table24[[#This Row],[SHL_TAR_HC]]*$AG$4+Table24[[#This Row],[SHL_TAR_NDP]]*$AG$5)/$AG$18,0)</f>
        <v>0</v>
      </c>
      <c r="AH64" s="49">
        <f>ROUND($Q$8*(Table24[[#This Row],[SHL_TAR_IDPs]]*$AH$3+Table24[[#This Row],[SHL_TAR_HC]]*$AH$4+Table24[[#This Row],[SHL_TAR_NDP]]*$AH$5)/$AH$18,0)</f>
        <v>0</v>
      </c>
      <c r="AI64" s="49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>0</v>
      </c>
    </row>
    <row r="65" spans="1:35" x14ac:dyDescent="0.55000000000000004">
      <c r="A65" t="s">
        <v>446</v>
      </c>
      <c r="B65" t="s">
        <v>97</v>
      </c>
      <c r="C65" t="s">
        <v>287</v>
      </c>
      <c r="D65" s="58">
        <f>_xlfn.XLOOKUP($B65, 'Prioritization calculation'!D:D, 'Prioritization calculation'!X:X, "")</f>
        <v>1</v>
      </c>
      <c r="E65" s="58">
        <v>3</v>
      </c>
      <c r="F65" s="58">
        <v>3</v>
      </c>
      <c r="G65" s="58" t="s">
        <v>521</v>
      </c>
      <c r="H65" s="58">
        <v>12105</v>
      </c>
      <c r="I65" s="58">
        <v>2220</v>
      </c>
      <c r="J65" s="58">
        <v>0</v>
      </c>
      <c r="K65" s="58">
        <v>1550</v>
      </c>
      <c r="L65" s="58">
        <v>11930</v>
      </c>
      <c r="M65" s="58">
        <v>6828</v>
      </c>
      <c r="N65" s="58">
        <v>0</v>
      </c>
      <c r="O65" s="97">
        <f>SUM(Table24[[#This Row],[SHL_PIN_IDPs]:[SHL_PIN_NDP]])</f>
        <v>0</v>
      </c>
      <c r="P65" s="98">
        <v>0</v>
      </c>
      <c r="Q65" s="98">
        <v>0</v>
      </c>
      <c r="R65" s="98">
        <v>0</v>
      </c>
      <c r="S65" s="98">
        <f>ROUND(SUM(Table24[[#This Row],[SHL_TAR_IDPs]:[SHL_TAR_NDP]]),0)</f>
        <v>0</v>
      </c>
      <c r="T65" s="48">
        <f>SUM(Table24[[#This Row],[HIDE IDP]:[HIDE NDP]])</f>
        <v>0</v>
      </c>
      <c r="U65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0</v>
      </c>
      <c r="V65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0</v>
      </c>
      <c r="W65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0</v>
      </c>
      <c r="X65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0</v>
      </c>
      <c r="Y65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0</v>
      </c>
      <c r="Z65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65" s="49">
        <f>ROUND($P$8*(Table24[[#This Row],[SHL_TAR_IDPs]]*$AA$3+Table24[[#This Row],[SHL_TAR_HC]]*$AA$4+Table24[[#This Row],[SHL_TAR_NDP]]*$AA$5)/$AA$18,0)</f>
        <v>0</v>
      </c>
      <c r="AB65" s="49">
        <f>ROUND($P$8*(Table24[[#This Row],[SHL_TAR_IDPs]]*$AB$3+Table24[[#This Row],[SHL_TAR_HC]]*$AB$4+Table24[[#This Row],[SHL_TAR_NDP]]*$AB$5)/$AB$18,0)</f>
        <v>0</v>
      </c>
      <c r="AC65" s="49">
        <f>ROUND($Q$8*(Table24[[#This Row],[SHL_TAR_IDPs]]*$AC$3+Table24[[#This Row],[SHL_TAR_HC]]*$AC$4+Table24[[#This Row],[SHL_TAR_NDP]]*$AC$5)/$AC$18,0)</f>
        <v>0</v>
      </c>
      <c r="AD65" s="49">
        <f>ROUND($Q$8*(Table24[[#This Row],[SHL_TAR_IDPs]]*$AD$3+Table24[[#This Row],[SHL_TAR_HC]]*$AD$4+Table24[[#This Row],[SHL_TAR_NDP]]*$AD$5)/$AD$18,0)</f>
        <v>0</v>
      </c>
      <c r="AE65" s="49">
        <f>ROUND($Q$8*(Table24[[#This Row],[SHL_TAR_IDPs]]*$AE$3+Table24[[#This Row],[SHL_TAR_HC]]*$AE$4+Table24[[#This Row],[SHL_TAR_NDP]]*$AE$5)/$AE$18,0)</f>
        <v>0</v>
      </c>
      <c r="AF65" s="49">
        <f>ROUND($Q$8*(Table24[[#This Row],[SHL_TAR_IDPs]]*$AF$3+Table24[[#This Row],[SHL_TAR_HC]]*$AF$4+Table24[[#This Row],[SHL_TAR_NDP]]*$AF$5)/$AF$18,0)</f>
        <v>0</v>
      </c>
      <c r="AG65" s="49">
        <f>ROUND($Q$8*(Table24[[#This Row],[SHL_TAR_IDPs]]*$AG$3+Table24[[#This Row],[SHL_TAR_HC]]*$AG$4+Table24[[#This Row],[SHL_TAR_NDP]]*$AG$5)/$AG$18,0)</f>
        <v>0</v>
      </c>
      <c r="AH65" s="49">
        <f>ROUND($Q$8*(Table24[[#This Row],[SHL_TAR_IDPs]]*$AH$3+Table24[[#This Row],[SHL_TAR_HC]]*$AH$4+Table24[[#This Row],[SHL_TAR_NDP]]*$AH$5)/$AH$18,0)</f>
        <v>0</v>
      </c>
      <c r="AI65" s="49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>0</v>
      </c>
    </row>
    <row r="66" spans="1:35" x14ac:dyDescent="0.55000000000000004">
      <c r="A66" t="s">
        <v>446</v>
      </c>
      <c r="B66" t="s">
        <v>98</v>
      </c>
      <c r="C66" t="s">
        <v>288</v>
      </c>
      <c r="D66" s="58">
        <f>_xlfn.XLOOKUP($B66, 'Prioritization calculation'!D:D, 'Prioritization calculation'!X:X, "")</f>
        <v>1</v>
      </c>
      <c r="E66" s="58">
        <v>2</v>
      </c>
      <c r="F66" s="58">
        <v>3</v>
      </c>
      <c r="G66" s="58" t="s">
        <v>521</v>
      </c>
      <c r="H66" s="58">
        <v>8165</v>
      </c>
      <c r="I66" s="58">
        <v>945</v>
      </c>
      <c r="J66" s="58">
        <v>0</v>
      </c>
      <c r="K66" s="58"/>
      <c r="L66" s="58">
        <v>13665</v>
      </c>
      <c r="M66" s="58">
        <v>5704</v>
      </c>
      <c r="N66" s="58">
        <v>0</v>
      </c>
      <c r="O66" s="97">
        <f>SUM(Table24[[#This Row],[SHL_PIN_IDPs]:[SHL_PIN_NDP]])</f>
        <v>0</v>
      </c>
      <c r="P66" s="98">
        <v>0</v>
      </c>
      <c r="Q66" s="98">
        <v>0</v>
      </c>
      <c r="R66" s="98">
        <v>0</v>
      </c>
      <c r="S66" s="98">
        <f>ROUND(SUM(Table24[[#This Row],[SHL_TAR_IDPs]:[SHL_TAR_NDP]]),0)</f>
        <v>0</v>
      </c>
      <c r="T66" s="48">
        <f>SUM(Table24[[#This Row],[HIDE IDP]:[HIDE NDP]])</f>
        <v>0</v>
      </c>
      <c r="U66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0</v>
      </c>
      <c r="V66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0</v>
      </c>
      <c r="W66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0</v>
      </c>
      <c r="X66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0</v>
      </c>
      <c r="Y66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0</v>
      </c>
      <c r="Z66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66" s="49">
        <f>ROUND($P$8*(Table24[[#This Row],[SHL_TAR_IDPs]]*$AA$3+Table24[[#This Row],[SHL_TAR_HC]]*$AA$4+Table24[[#This Row],[SHL_TAR_NDP]]*$AA$5)/$AA$18,0)</f>
        <v>0</v>
      </c>
      <c r="AB66" s="49">
        <f>ROUND($P$8*(Table24[[#This Row],[SHL_TAR_IDPs]]*$AB$3+Table24[[#This Row],[SHL_TAR_HC]]*$AB$4+Table24[[#This Row],[SHL_TAR_NDP]]*$AB$5)/$AB$18,0)</f>
        <v>0</v>
      </c>
      <c r="AC66" s="49">
        <f>ROUND($Q$8*(Table24[[#This Row],[SHL_TAR_IDPs]]*$AC$3+Table24[[#This Row],[SHL_TAR_HC]]*$AC$4+Table24[[#This Row],[SHL_TAR_NDP]]*$AC$5)/$AC$18,0)</f>
        <v>0</v>
      </c>
      <c r="AD66" s="49">
        <f>ROUND($Q$8*(Table24[[#This Row],[SHL_TAR_IDPs]]*$AD$3+Table24[[#This Row],[SHL_TAR_HC]]*$AD$4+Table24[[#This Row],[SHL_TAR_NDP]]*$AD$5)/$AD$18,0)</f>
        <v>0</v>
      </c>
      <c r="AE66" s="49">
        <f>ROUND($Q$8*(Table24[[#This Row],[SHL_TAR_IDPs]]*$AE$3+Table24[[#This Row],[SHL_TAR_HC]]*$AE$4+Table24[[#This Row],[SHL_TAR_NDP]]*$AE$5)/$AE$18,0)</f>
        <v>0</v>
      </c>
      <c r="AF66" s="49">
        <f>ROUND($Q$8*(Table24[[#This Row],[SHL_TAR_IDPs]]*$AF$3+Table24[[#This Row],[SHL_TAR_HC]]*$AF$4+Table24[[#This Row],[SHL_TAR_NDP]]*$AF$5)/$AF$18,0)</f>
        <v>0</v>
      </c>
      <c r="AG66" s="49">
        <f>ROUND($Q$8*(Table24[[#This Row],[SHL_TAR_IDPs]]*$AG$3+Table24[[#This Row],[SHL_TAR_HC]]*$AG$4+Table24[[#This Row],[SHL_TAR_NDP]]*$AG$5)/$AG$18,0)</f>
        <v>0</v>
      </c>
      <c r="AH66" s="49">
        <f>ROUND($Q$8*(Table24[[#This Row],[SHL_TAR_IDPs]]*$AH$3+Table24[[#This Row],[SHL_TAR_HC]]*$AH$4+Table24[[#This Row],[SHL_TAR_NDP]]*$AH$5)/$AH$18,0)</f>
        <v>0</v>
      </c>
      <c r="AI66" s="49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>0</v>
      </c>
    </row>
    <row r="67" spans="1:35" x14ac:dyDescent="0.55000000000000004">
      <c r="A67" t="s">
        <v>446</v>
      </c>
      <c r="B67" t="s">
        <v>99</v>
      </c>
      <c r="C67" t="s">
        <v>289</v>
      </c>
      <c r="D67" s="58">
        <f>_xlfn.XLOOKUP($B67, 'Prioritization calculation'!D:D, 'Prioritization calculation'!X:X, "")</f>
        <v>1</v>
      </c>
      <c r="E67" s="58">
        <v>4</v>
      </c>
      <c r="F67" s="58">
        <v>3</v>
      </c>
      <c r="G67" s="58" t="s">
        <v>521</v>
      </c>
      <c r="H67" s="58">
        <v>17800</v>
      </c>
      <c r="I67" s="58">
        <v>78100</v>
      </c>
      <c r="J67" s="58">
        <v>2100</v>
      </c>
      <c r="K67" s="58">
        <v>12340</v>
      </c>
      <c r="L67" s="58">
        <v>0</v>
      </c>
      <c r="M67" s="58">
        <v>8968</v>
      </c>
      <c r="N67" s="58">
        <v>233.00062802799209</v>
      </c>
      <c r="O67" s="97">
        <f>SUM(Table24[[#This Row],[SHL_PIN_IDPs]:[SHL_PIN_NDP]])</f>
        <v>8321</v>
      </c>
      <c r="P67" s="98">
        <v>0</v>
      </c>
      <c r="Q67" s="98">
        <v>8321</v>
      </c>
      <c r="R67" s="98">
        <v>0</v>
      </c>
      <c r="S67" s="98">
        <f>ROUND(SUM(Table24[[#This Row],[SHL_TAR_IDPs]:[SHL_TAR_NDP]]),0)</f>
        <v>5326</v>
      </c>
      <c r="T67" s="48">
        <f>SUM(Table24[[#This Row],[HIDE IDP]:[HIDE NDP]])</f>
        <v>5325.6</v>
      </c>
      <c r="U67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0</v>
      </c>
      <c r="V67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5325.6</v>
      </c>
      <c r="W67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0</v>
      </c>
      <c r="X67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0</v>
      </c>
      <c r="Y67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5325.6</v>
      </c>
      <c r="Z67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67" s="49">
        <f>ROUND($P$8*(Table24[[#This Row],[SHL_TAR_IDPs]]*$AA$3+Table24[[#This Row],[SHL_TAR_HC]]*$AA$4+Table24[[#This Row],[SHL_TAR_NDP]]*$AA$5)/$AA$18,0)</f>
        <v>453</v>
      </c>
      <c r="AB67" s="49">
        <f>ROUND($P$8*(Table24[[#This Row],[SHL_TAR_IDPs]]*$AB$3+Table24[[#This Row],[SHL_TAR_HC]]*$AB$4+Table24[[#This Row],[SHL_TAR_NDP]]*$AB$5)/$AB$18,0)</f>
        <v>453</v>
      </c>
      <c r="AC67" s="49">
        <f>ROUND($Q$8*(Table24[[#This Row],[SHL_TAR_IDPs]]*$AC$3+Table24[[#This Row],[SHL_TAR_HC]]*$AC$4+Table24[[#This Row],[SHL_TAR_NDP]]*$AC$5)/$AC$18,0)</f>
        <v>0</v>
      </c>
      <c r="AD67" s="49">
        <f>ROUND($Q$8*(Table24[[#This Row],[SHL_TAR_IDPs]]*$AD$3+Table24[[#This Row],[SHL_TAR_HC]]*$AD$4+Table24[[#This Row],[SHL_TAR_NDP]]*$AD$5)/$AD$18,0)</f>
        <v>0</v>
      </c>
      <c r="AE67" s="49">
        <f>ROUND($Q$8*(Table24[[#This Row],[SHL_TAR_IDPs]]*$AE$3+Table24[[#This Row],[SHL_TAR_HC]]*$AE$4+Table24[[#This Row],[SHL_TAR_NDP]]*$AE$5)/$AE$18,0)</f>
        <v>53</v>
      </c>
      <c r="AF67" s="49">
        <f>ROUND($Q$8*(Table24[[#This Row],[SHL_TAR_IDPs]]*$AF$3+Table24[[#This Row],[SHL_TAR_HC]]*$AF$4+Table24[[#This Row],[SHL_TAR_NDP]]*$AF$5)/$AF$18,0)</f>
        <v>107</v>
      </c>
      <c r="AG67" s="49">
        <f>ROUND($Q$8*(Table24[[#This Row],[SHL_TAR_IDPs]]*$AG$3+Table24[[#This Row],[SHL_TAR_HC]]*$AG$4+Table24[[#This Row],[SHL_TAR_NDP]]*$AG$5)/$AG$18,0)</f>
        <v>320</v>
      </c>
      <c r="AH67" s="49">
        <f>ROUND($Q$8*(Table24[[#This Row],[SHL_TAR_IDPs]]*$AH$3+Table24[[#This Row],[SHL_TAR_HC]]*$AH$4+Table24[[#This Row],[SHL_TAR_NDP]]*$AH$5)/$AH$18,0)</f>
        <v>53</v>
      </c>
      <c r="AI67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</row>
    <row r="68" spans="1:35" x14ac:dyDescent="0.55000000000000004">
      <c r="A68" t="s">
        <v>446</v>
      </c>
      <c r="B68" t="s">
        <v>100</v>
      </c>
      <c r="C68" t="s">
        <v>290</v>
      </c>
      <c r="D68" s="58">
        <f>_xlfn.XLOOKUP($B68, 'Prioritization calculation'!D:D, 'Prioritization calculation'!X:X, "")</f>
        <v>3</v>
      </c>
      <c r="E68" s="58">
        <v>3</v>
      </c>
      <c r="F68" s="58">
        <v>3</v>
      </c>
      <c r="G68" s="58" t="s">
        <v>521</v>
      </c>
      <c r="H68" s="58">
        <v>18470</v>
      </c>
      <c r="I68" s="58">
        <v>0</v>
      </c>
      <c r="J68" s="58">
        <v>0</v>
      </c>
      <c r="K68" s="58"/>
      <c r="L68" s="58">
        <v>15245</v>
      </c>
      <c r="M68" s="58">
        <v>9803</v>
      </c>
      <c r="N68" s="58">
        <v>1703.1440493468795</v>
      </c>
      <c r="O68" s="97">
        <f>SUM(Table24[[#This Row],[SHL_PIN_IDPs]:[SHL_PIN_NDP]])</f>
        <v>3749</v>
      </c>
      <c r="P68" s="98">
        <v>0</v>
      </c>
      <c r="Q68" s="98">
        <v>3749</v>
      </c>
      <c r="R68" s="98">
        <v>0</v>
      </c>
      <c r="S68" s="98">
        <f>ROUND(SUM(Table24[[#This Row],[SHL_TAR_IDPs]:[SHL_TAR_NDP]]),0)</f>
        <v>0</v>
      </c>
      <c r="T68" s="48">
        <f>SUM(Table24[[#This Row],[HIDE IDP]:[HIDE NDP]])</f>
        <v>600</v>
      </c>
      <c r="U68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0</v>
      </c>
      <c r="V68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600</v>
      </c>
      <c r="W68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0</v>
      </c>
      <c r="X68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0</v>
      </c>
      <c r="Y68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0</v>
      </c>
      <c r="Z68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68" s="49">
        <f>ROUND($P$8*(Table24[[#This Row],[SHL_TAR_IDPs]]*$AA$3+Table24[[#This Row],[SHL_TAR_HC]]*$AA$4+Table24[[#This Row],[SHL_TAR_NDP]]*$AA$5)/$AA$18,0)</f>
        <v>0</v>
      </c>
      <c r="AB68" s="49">
        <f>ROUND($P$8*(Table24[[#This Row],[SHL_TAR_IDPs]]*$AB$3+Table24[[#This Row],[SHL_TAR_HC]]*$AB$4+Table24[[#This Row],[SHL_TAR_NDP]]*$AB$5)/$AB$18,0)</f>
        <v>0</v>
      </c>
      <c r="AC68" s="49">
        <f>ROUND($Q$8*(Table24[[#This Row],[SHL_TAR_IDPs]]*$AC$3+Table24[[#This Row],[SHL_TAR_HC]]*$AC$4+Table24[[#This Row],[SHL_TAR_NDP]]*$AC$5)/$AC$18,0)</f>
        <v>0</v>
      </c>
      <c r="AD68" s="49">
        <f>ROUND($Q$8*(Table24[[#This Row],[SHL_TAR_IDPs]]*$AD$3+Table24[[#This Row],[SHL_TAR_HC]]*$AD$4+Table24[[#This Row],[SHL_TAR_NDP]]*$AD$5)/$AD$18,0)</f>
        <v>0</v>
      </c>
      <c r="AE68" s="49">
        <f>ROUND($Q$8*(Table24[[#This Row],[SHL_TAR_IDPs]]*$AE$3+Table24[[#This Row],[SHL_TAR_HC]]*$AE$4+Table24[[#This Row],[SHL_TAR_NDP]]*$AE$5)/$AE$18,0)</f>
        <v>0</v>
      </c>
      <c r="AF68" s="49">
        <f>ROUND($Q$8*(Table24[[#This Row],[SHL_TAR_IDPs]]*$AF$3+Table24[[#This Row],[SHL_TAR_HC]]*$AF$4+Table24[[#This Row],[SHL_TAR_NDP]]*$AF$5)/$AF$18,0)</f>
        <v>0</v>
      </c>
      <c r="AG68" s="49">
        <f>ROUND($Q$8*(Table24[[#This Row],[SHL_TAR_IDPs]]*$AG$3+Table24[[#This Row],[SHL_TAR_HC]]*$AG$4+Table24[[#This Row],[SHL_TAR_NDP]]*$AG$5)/$AG$18,0)</f>
        <v>0</v>
      </c>
      <c r="AH68" s="49">
        <f>ROUND($Q$8*(Table24[[#This Row],[SHL_TAR_IDPs]]*$AH$3+Table24[[#This Row],[SHL_TAR_HC]]*$AH$4+Table24[[#This Row],[SHL_TAR_NDP]]*$AH$5)/$AH$18,0)</f>
        <v>0</v>
      </c>
      <c r="AI68" s="49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>0</v>
      </c>
    </row>
    <row r="69" spans="1:35" x14ac:dyDescent="0.55000000000000004">
      <c r="A69" t="s">
        <v>446</v>
      </c>
      <c r="B69" t="s">
        <v>101</v>
      </c>
      <c r="C69" t="s">
        <v>291</v>
      </c>
      <c r="D69" s="58">
        <f>_xlfn.XLOOKUP($B69, 'Prioritization calculation'!D:D, 'Prioritization calculation'!X:X, "")</f>
        <v>3</v>
      </c>
      <c r="E69" s="58">
        <v>3</v>
      </c>
      <c r="F69" s="58">
        <v>3</v>
      </c>
      <c r="G69" s="58" t="s">
        <v>521</v>
      </c>
      <c r="H69" s="58">
        <v>32000</v>
      </c>
      <c r="I69" s="58">
        <v>13880</v>
      </c>
      <c r="J69" s="58">
        <v>0</v>
      </c>
      <c r="K69" s="58"/>
      <c r="L69" s="58">
        <v>6186</v>
      </c>
      <c r="M69" s="58">
        <v>18147</v>
      </c>
      <c r="N69" s="58">
        <v>2837.4802399435425</v>
      </c>
      <c r="O69" s="97">
        <f>SUM(Table24[[#This Row],[SHL_PIN_IDPs]:[SHL_PIN_NDP]])</f>
        <v>32232</v>
      </c>
      <c r="P69" s="98">
        <v>14626</v>
      </c>
      <c r="Q69" s="98">
        <v>7313</v>
      </c>
      <c r="R69" s="98">
        <v>10293</v>
      </c>
      <c r="S69" s="98">
        <f>ROUND(SUM(Table24[[#This Row],[SHL_TAR_IDPs]:[SHL_TAR_NDP]]),0)</f>
        <v>5125</v>
      </c>
      <c r="T69" s="48">
        <f>SUM(Table24[[#This Row],[HIDE IDP]:[HIDE NDP]])</f>
        <v>5124.8999999999996</v>
      </c>
      <c r="U69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2925</v>
      </c>
      <c r="V69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1170.4000000000001</v>
      </c>
      <c r="W69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1029.5</v>
      </c>
      <c r="X69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2925</v>
      </c>
      <c r="Y69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1170.4000000000001</v>
      </c>
      <c r="Z69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1029.5</v>
      </c>
      <c r="AA69" s="49">
        <f>ROUND($P$8*(Table24[[#This Row],[SHL_TAR_IDPs]]*$AA$3+Table24[[#This Row],[SHL_TAR_HC]]*$AA$4+Table24[[#This Row],[SHL_TAR_NDP]]*$AA$5)/$AA$18,0)</f>
        <v>436</v>
      </c>
      <c r="AB69" s="49">
        <f>ROUND($P$8*(Table24[[#This Row],[SHL_TAR_IDPs]]*$AB$3+Table24[[#This Row],[SHL_TAR_HC]]*$AB$4+Table24[[#This Row],[SHL_TAR_NDP]]*$AB$5)/$AB$18,0)</f>
        <v>436</v>
      </c>
      <c r="AC69" s="49">
        <f>ROUND($Q$8*(Table24[[#This Row],[SHL_TAR_IDPs]]*$AC$3+Table24[[#This Row],[SHL_TAR_HC]]*$AC$4+Table24[[#This Row],[SHL_TAR_NDP]]*$AC$5)/$AC$18,0)</f>
        <v>29</v>
      </c>
      <c r="AD69" s="49">
        <f>ROUND($Q$8*(Table24[[#This Row],[SHL_TAR_IDPs]]*$AD$3+Table24[[#This Row],[SHL_TAR_HC]]*$AD$4+Table24[[#This Row],[SHL_TAR_NDP]]*$AD$5)/$AD$18,0)</f>
        <v>29</v>
      </c>
      <c r="AE69" s="49">
        <f>ROUND($Q$8*(Table24[[#This Row],[SHL_TAR_IDPs]]*$AE$3+Table24[[#This Row],[SHL_TAR_HC]]*$AE$4+Table24[[#This Row],[SHL_TAR_NDP]]*$AE$5)/$AE$18,0)</f>
        <v>51</v>
      </c>
      <c r="AF69" s="49">
        <f>ROUND($Q$8*(Table24[[#This Row],[SHL_TAR_IDPs]]*$AF$3+Table24[[#This Row],[SHL_TAR_HC]]*$AF$4+Table24[[#This Row],[SHL_TAR_NDP]]*$AF$5)/$AF$18,0)</f>
        <v>102</v>
      </c>
      <c r="AG69" s="49">
        <f>ROUND($Q$8*(Table24[[#This Row],[SHL_TAR_IDPs]]*$AG$3+Table24[[#This Row],[SHL_TAR_HC]]*$AG$4+Table24[[#This Row],[SHL_TAR_NDP]]*$AG$5)/$AG$18,0)</f>
        <v>230</v>
      </c>
      <c r="AH69" s="49">
        <f>ROUND($Q$8*(Table24[[#This Row],[SHL_TAR_IDPs]]*$AH$3+Table24[[#This Row],[SHL_TAR_HC]]*$AH$4+Table24[[#This Row],[SHL_TAR_NDP]]*$AH$5)/$AH$18,0)</f>
        <v>70</v>
      </c>
      <c r="AI69" s="49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>40</v>
      </c>
    </row>
    <row r="70" spans="1:35" x14ac:dyDescent="0.55000000000000004">
      <c r="A70" t="s">
        <v>446</v>
      </c>
      <c r="B70" t="s">
        <v>102</v>
      </c>
      <c r="C70" t="s">
        <v>292</v>
      </c>
      <c r="D70" s="58">
        <f>_xlfn.XLOOKUP($B70, 'Prioritization calculation'!D:D, 'Prioritization calculation'!X:X, "")</f>
        <v>1</v>
      </c>
      <c r="E70" s="58">
        <v>3</v>
      </c>
      <c r="F70" s="58">
        <v>3</v>
      </c>
      <c r="G70" s="58" t="s">
        <v>521</v>
      </c>
      <c r="H70" s="58">
        <v>13160</v>
      </c>
      <c r="I70" s="58">
        <v>51555</v>
      </c>
      <c r="J70" s="58">
        <v>0</v>
      </c>
      <c r="K70" s="58">
        <v>2425</v>
      </c>
      <c r="L70" s="58">
        <v>0</v>
      </c>
      <c r="M70" s="58">
        <v>12546</v>
      </c>
      <c r="N70" s="58">
        <v>0</v>
      </c>
      <c r="O70" s="97">
        <f>SUM(Table24[[#This Row],[SHL_PIN_IDPs]:[SHL_PIN_NDP]])</f>
        <v>18682</v>
      </c>
      <c r="P70" s="98">
        <v>11012</v>
      </c>
      <c r="Q70" s="98">
        <v>6135</v>
      </c>
      <c r="R70" s="98">
        <v>1535</v>
      </c>
      <c r="S70" s="98">
        <f>ROUND(SUM(Table24[[#This Row],[SHL_TAR_IDPs]:[SHL_TAR_NDP]]),0)</f>
        <v>10012</v>
      </c>
      <c r="T70" s="48">
        <f>SUM(Table24[[#This Row],[HIDE IDP]:[HIDE NDP]])</f>
        <v>10012.299999999999</v>
      </c>
      <c r="U70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6607</v>
      </c>
      <c r="V70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2944.8</v>
      </c>
      <c r="W70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460.5</v>
      </c>
      <c r="X70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6607</v>
      </c>
      <c r="Y70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2944.8</v>
      </c>
      <c r="Z70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460.5</v>
      </c>
      <c r="AA70" s="49">
        <f>ROUND($P$8*(Table24[[#This Row],[SHL_TAR_IDPs]]*$AA$3+Table24[[#This Row],[SHL_TAR_HC]]*$AA$4+Table24[[#This Row],[SHL_TAR_NDP]]*$AA$5)/$AA$18,0)</f>
        <v>851</v>
      </c>
      <c r="AB70" s="49">
        <f>ROUND($P$8*(Table24[[#This Row],[SHL_TAR_IDPs]]*$AB$3+Table24[[#This Row],[SHL_TAR_HC]]*$AB$4+Table24[[#This Row],[SHL_TAR_NDP]]*$AB$5)/$AB$18,0)</f>
        <v>851</v>
      </c>
      <c r="AC70" s="49">
        <f>ROUND($Q$8*(Table24[[#This Row],[SHL_TAR_IDPs]]*$AC$3+Table24[[#This Row],[SHL_TAR_HC]]*$AC$4+Table24[[#This Row],[SHL_TAR_NDP]]*$AC$5)/$AC$18,0)</f>
        <v>66</v>
      </c>
      <c r="AD70" s="49">
        <f>ROUND($Q$8*(Table24[[#This Row],[SHL_TAR_IDPs]]*$AD$3+Table24[[#This Row],[SHL_TAR_HC]]*$AD$4+Table24[[#This Row],[SHL_TAR_NDP]]*$AD$5)/$AD$18,0)</f>
        <v>66</v>
      </c>
      <c r="AE70" s="49">
        <f>ROUND($Q$8*(Table24[[#This Row],[SHL_TAR_IDPs]]*$AE$3+Table24[[#This Row],[SHL_TAR_HC]]*$AE$4+Table24[[#This Row],[SHL_TAR_NDP]]*$AE$5)/$AE$18,0)</f>
        <v>100</v>
      </c>
      <c r="AF70" s="49">
        <f>ROUND($Q$8*(Table24[[#This Row],[SHL_TAR_IDPs]]*$AF$3+Table24[[#This Row],[SHL_TAR_HC]]*$AF$4+Table24[[#This Row],[SHL_TAR_NDP]]*$AF$5)/$AF$18,0)</f>
        <v>200</v>
      </c>
      <c r="AG70" s="49">
        <f>ROUND($Q$8*(Table24[[#This Row],[SHL_TAR_IDPs]]*$AG$3+Table24[[#This Row],[SHL_TAR_HC]]*$AG$4+Table24[[#This Row],[SHL_TAR_NDP]]*$AG$5)/$AG$18,0)</f>
        <v>407</v>
      </c>
      <c r="AH70" s="49">
        <f>ROUND($Q$8*(Table24[[#This Row],[SHL_TAR_IDPs]]*$AH$3+Table24[[#This Row],[SHL_TAR_HC]]*$AH$4+Table24[[#This Row],[SHL_TAR_NDP]]*$AH$5)/$AH$18,0)</f>
        <v>162</v>
      </c>
      <c r="AI70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</row>
    <row r="71" spans="1:35" x14ac:dyDescent="0.55000000000000004">
      <c r="A71" t="s">
        <v>446</v>
      </c>
      <c r="B71" t="s">
        <v>103</v>
      </c>
      <c r="C71" t="s">
        <v>293</v>
      </c>
      <c r="D71" s="58">
        <f>_xlfn.XLOOKUP($B71, 'Prioritization calculation'!D:D, 'Prioritization calculation'!X:X, "")</f>
        <v>3</v>
      </c>
      <c r="E71" s="58">
        <v>3</v>
      </c>
      <c r="F71" s="58">
        <v>3</v>
      </c>
      <c r="G71" s="58" t="s">
        <v>521</v>
      </c>
      <c r="H71" s="58">
        <v>12202</v>
      </c>
      <c r="I71" s="58">
        <v>3900</v>
      </c>
      <c r="J71" s="58">
        <v>0</v>
      </c>
      <c r="K71" s="58"/>
      <c r="L71" s="58">
        <v>1265</v>
      </c>
      <c r="M71" s="58">
        <v>6887</v>
      </c>
      <c r="N71" s="58">
        <v>182.01243798476696</v>
      </c>
      <c r="O71" s="97">
        <f>SUM(Table24[[#This Row],[SHL_PIN_IDPs]:[SHL_PIN_NDP]])</f>
        <v>2440</v>
      </c>
      <c r="P71" s="98">
        <v>0</v>
      </c>
      <c r="Q71" s="98">
        <v>2440</v>
      </c>
      <c r="R71" s="98">
        <v>0</v>
      </c>
      <c r="S71" s="98">
        <f>ROUND(SUM(Table24[[#This Row],[SHL_TAR_IDPs]:[SHL_TAR_NDP]]),0)</f>
        <v>0</v>
      </c>
      <c r="T71" s="48">
        <f>SUM(Table24[[#This Row],[HIDE IDP]:[HIDE NDP]])</f>
        <v>390.40000000000003</v>
      </c>
      <c r="U71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0</v>
      </c>
      <c r="V71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390.40000000000003</v>
      </c>
      <c r="W71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0</v>
      </c>
      <c r="X71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0</v>
      </c>
      <c r="Y71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0</v>
      </c>
      <c r="Z71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71" s="49">
        <f>ROUND($P$8*(Table24[[#This Row],[SHL_TAR_IDPs]]*$AA$3+Table24[[#This Row],[SHL_TAR_HC]]*$AA$4+Table24[[#This Row],[SHL_TAR_NDP]]*$AA$5)/$AA$18,0)</f>
        <v>0</v>
      </c>
      <c r="AB71" s="49">
        <f>ROUND($P$8*(Table24[[#This Row],[SHL_TAR_IDPs]]*$AB$3+Table24[[#This Row],[SHL_TAR_HC]]*$AB$4+Table24[[#This Row],[SHL_TAR_NDP]]*$AB$5)/$AB$18,0)</f>
        <v>0</v>
      </c>
      <c r="AC71" s="49">
        <f>ROUND($Q$8*(Table24[[#This Row],[SHL_TAR_IDPs]]*$AC$3+Table24[[#This Row],[SHL_TAR_HC]]*$AC$4+Table24[[#This Row],[SHL_TAR_NDP]]*$AC$5)/$AC$18,0)</f>
        <v>0</v>
      </c>
      <c r="AD71" s="49">
        <f>ROUND($Q$8*(Table24[[#This Row],[SHL_TAR_IDPs]]*$AD$3+Table24[[#This Row],[SHL_TAR_HC]]*$AD$4+Table24[[#This Row],[SHL_TAR_NDP]]*$AD$5)/$AD$18,0)</f>
        <v>0</v>
      </c>
      <c r="AE71" s="49">
        <f>ROUND($Q$8*(Table24[[#This Row],[SHL_TAR_IDPs]]*$AE$3+Table24[[#This Row],[SHL_TAR_HC]]*$AE$4+Table24[[#This Row],[SHL_TAR_NDP]]*$AE$5)/$AE$18,0)</f>
        <v>0</v>
      </c>
      <c r="AF71" s="49">
        <f>ROUND($Q$8*(Table24[[#This Row],[SHL_TAR_IDPs]]*$AF$3+Table24[[#This Row],[SHL_TAR_HC]]*$AF$4+Table24[[#This Row],[SHL_TAR_NDP]]*$AF$5)/$AF$18,0)</f>
        <v>0</v>
      </c>
      <c r="AG71" s="49">
        <f>ROUND($Q$8*(Table24[[#This Row],[SHL_TAR_IDPs]]*$AG$3+Table24[[#This Row],[SHL_TAR_HC]]*$AG$4+Table24[[#This Row],[SHL_TAR_NDP]]*$AG$5)/$AG$18,0)</f>
        <v>0</v>
      </c>
      <c r="AH71" s="49">
        <f>ROUND($Q$8*(Table24[[#This Row],[SHL_TAR_IDPs]]*$AH$3+Table24[[#This Row],[SHL_TAR_HC]]*$AH$4+Table24[[#This Row],[SHL_TAR_NDP]]*$AH$5)/$AH$18,0)</f>
        <v>0</v>
      </c>
      <c r="AI71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</row>
    <row r="72" spans="1:35" x14ac:dyDescent="0.55000000000000004">
      <c r="A72" t="s">
        <v>446</v>
      </c>
      <c r="B72" t="s">
        <v>104</v>
      </c>
      <c r="C72" t="s">
        <v>294</v>
      </c>
      <c r="D72" s="58">
        <f>_xlfn.XLOOKUP($B72, 'Prioritization calculation'!D:D, 'Prioritization calculation'!X:X, "")</f>
        <v>1</v>
      </c>
      <c r="E72" s="58">
        <v>4</v>
      </c>
      <c r="F72" s="58">
        <v>3</v>
      </c>
      <c r="G72" s="58" t="s">
        <v>521</v>
      </c>
      <c r="H72" s="58">
        <v>26720</v>
      </c>
      <c r="I72" s="58">
        <v>150400</v>
      </c>
      <c r="J72" s="58">
        <v>0</v>
      </c>
      <c r="K72" s="58">
        <v>8345</v>
      </c>
      <c r="L72" s="58">
        <v>855</v>
      </c>
      <c r="M72" s="58">
        <v>17596</v>
      </c>
      <c r="N72" s="58">
        <v>0</v>
      </c>
      <c r="O72" s="97">
        <f>SUM(Table24[[#This Row],[SHL_PIN_IDPs]:[SHL_PIN_NDP]])</f>
        <v>25700</v>
      </c>
      <c r="P72" s="98">
        <v>11170</v>
      </c>
      <c r="Q72" s="98">
        <v>9135</v>
      </c>
      <c r="R72" s="98">
        <v>5395</v>
      </c>
      <c r="S72" s="98">
        <f>ROUND(SUM(Table24[[#This Row],[SHL_TAR_IDPs]:[SHL_TAR_NDP]]),0)</f>
        <v>16940</v>
      </c>
      <c r="T72" s="48">
        <f>SUM(Table24[[#This Row],[HIDE IDP]:[HIDE NDP]])</f>
        <v>16940.400000000001</v>
      </c>
      <c r="U72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8936</v>
      </c>
      <c r="V72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5846.4000000000005</v>
      </c>
      <c r="W72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2158</v>
      </c>
      <c r="X72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8936</v>
      </c>
      <c r="Y72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5846.4000000000005</v>
      </c>
      <c r="Z72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2158</v>
      </c>
      <c r="AA72" s="49">
        <f>ROUND($P$8*(Table24[[#This Row],[SHL_TAR_IDPs]]*$AA$3+Table24[[#This Row],[SHL_TAR_HC]]*$AA$4+Table24[[#This Row],[SHL_TAR_NDP]]*$AA$5)/$AA$18,0)</f>
        <v>1440</v>
      </c>
      <c r="AB72" s="49">
        <f>ROUND($P$8*(Table24[[#This Row],[SHL_TAR_IDPs]]*$AB$3+Table24[[#This Row],[SHL_TAR_HC]]*$AB$4+Table24[[#This Row],[SHL_TAR_NDP]]*$AB$5)/$AB$18,0)</f>
        <v>1440</v>
      </c>
      <c r="AC72" s="49">
        <f>ROUND($Q$8*(Table24[[#This Row],[SHL_TAR_IDPs]]*$AC$3+Table24[[#This Row],[SHL_TAR_HC]]*$AC$4+Table24[[#This Row],[SHL_TAR_NDP]]*$AC$5)/$AC$18,0)</f>
        <v>89</v>
      </c>
      <c r="AD72" s="49">
        <f>ROUND($Q$8*(Table24[[#This Row],[SHL_TAR_IDPs]]*$AD$3+Table24[[#This Row],[SHL_TAR_HC]]*$AD$4+Table24[[#This Row],[SHL_TAR_NDP]]*$AD$5)/$AD$18,0)</f>
        <v>89</v>
      </c>
      <c r="AE72" s="49">
        <f>ROUND($Q$8*(Table24[[#This Row],[SHL_TAR_IDPs]]*$AE$3+Table24[[#This Row],[SHL_TAR_HC]]*$AE$4+Table24[[#This Row],[SHL_TAR_NDP]]*$AE$5)/$AE$18,0)</f>
        <v>169</v>
      </c>
      <c r="AF72" s="49">
        <f>ROUND($Q$8*(Table24[[#This Row],[SHL_TAR_IDPs]]*$AF$3+Table24[[#This Row],[SHL_TAR_HC]]*$AF$4+Table24[[#This Row],[SHL_TAR_NDP]]*$AF$5)/$AF$18,0)</f>
        <v>339</v>
      </c>
      <c r="AG72" s="49">
        <f>ROUND($Q$8*(Table24[[#This Row],[SHL_TAR_IDPs]]*$AG$3+Table24[[#This Row],[SHL_TAR_HC]]*$AG$4+Table24[[#This Row],[SHL_TAR_NDP]]*$AG$5)/$AG$18,0)</f>
        <v>770</v>
      </c>
      <c r="AH72" s="49">
        <f>ROUND($Q$8*(Table24[[#This Row],[SHL_TAR_IDPs]]*$AH$3+Table24[[#This Row],[SHL_TAR_HC]]*$AH$4+Table24[[#This Row],[SHL_TAR_NDP]]*$AH$5)/$AH$18,0)</f>
        <v>237</v>
      </c>
      <c r="AI72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</row>
    <row r="73" spans="1:35" x14ac:dyDescent="0.55000000000000004">
      <c r="A73" t="s">
        <v>446</v>
      </c>
      <c r="B73" t="s">
        <v>105</v>
      </c>
      <c r="C73" t="s">
        <v>295</v>
      </c>
      <c r="D73" s="58">
        <f>_xlfn.XLOOKUP($B73, 'Prioritization calculation'!D:D, 'Prioritization calculation'!X:X, "")</f>
        <v>1</v>
      </c>
      <c r="E73" s="58">
        <v>4</v>
      </c>
      <c r="F73" s="58">
        <v>3</v>
      </c>
      <c r="G73" s="58" t="s">
        <v>521</v>
      </c>
      <c r="H73" s="58">
        <v>69645</v>
      </c>
      <c r="I73" s="58">
        <v>11815</v>
      </c>
      <c r="J73" s="58">
        <v>9315</v>
      </c>
      <c r="K73" s="58"/>
      <c r="L73" s="58">
        <v>0</v>
      </c>
      <c r="M73" s="58">
        <v>33820</v>
      </c>
      <c r="N73" s="58">
        <v>3655.466182913472</v>
      </c>
      <c r="O73" s="97">
        <f>SUM(Table24[[#This Row],[SHL_PIN_IDPs]:[SHL_PIN_NDP]])</f>
        <v>75038</v>
      </c>
      <c r="P73" s="98">
        <v>43413</v>
      </c>
      <c r="Q73" s="98">
        <v>21707</v>
      </c>
      <c r="R73" s="98">
        <v>9918</v>
      </c>
      <c r="S73" s="98">
        <f>ROUND(SUM(Table24[[#This Row],[SHL_TAR_IDPs]:[SHL_TAR_NDP]]),0)</f>
        <v>52590</v>
      </c>
      <c r="T73" s="48">
        <f>SUM(Table24[[#This Row],[HIDE IDP]:[HIDE NDP]])</f>
        <v>52589.8</v>
      </c>
      <c r="U73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34730</v>
      </c>
      <c r="V73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13892.800000000001</v>
      </c>
      <c r="W73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3967</v>
      </c>
      <c r="X73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34730</v>
      </c>
      <c r="Y73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13892.800000000001</v>
      </c>
      <c r="Z73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3967</v>
      </c>
      <c r="AA73" s="49">
        <f>ROUND($P$8*(Table24[[#This Row],[SHL_TAR_IDPs]]*$AA$3+Table24[[#This Row],[SHL_TAR_HC]]*$AA$4+Table24[[#This Row],[SHL_TAR_NDP]]*$AA$5)/$AA$18,0)</f>
        <v>4470</v>
      </c>
      <c r="AB73" s="49">
        <f>ROUND($P$8*(Table24[[#This Row],[SHL_TAR_IDPs]]*$AB$3+Table24[[#This Row],[SHL_TAR_HC]]*$AB$4+Table24[[#This Row],[SHL_TAR_NDP]]*$AB$5)/$AB$18,0)</f>
        <v>4470</v>
      </c>
      <c r="AC73" s="49">
        <f>ROUND($Q$8*(Table24[[#This Row],[SHL_TAR_IDPs]]*$AC$3+Table24[[#This Row],[SHL_TAR_HC]]*$AC$4+Table24[[#This Row],[SHL_TAR_NDP]]*$AC$5)/$AC$18,0)</f>
        <v>347</v>
      </c>
      <c r="AD73" s="49">
        <f>ROUND($Q$8*(Table24[[#This Row],[SHL_TAR_IDPs]]*$AD$3+Table24[[#This Row],[SHL_TAR_HC]]*$AD$4+Table24[[#This Row],[SHL_TAR_NDP]]*$AD$5)/$AD$18,0)</f>
        <v>347</v>
      </c>
      <c r="AE73" s="49">
        <f>ROUND($Q$8*(Table24[[#This Row],[SHL_TAR_IDPs]]*$AE$3+Table24[[#This Row],[SHL_TAR_HC]]*$AE$4+Table24[[#This Row],[SHL_TAR_NDP]]*$AE$5)/$AE$18,0)</f>
        <v>526</v>
      </c>
      <c r="AF73" s="49">
        <f>ROUND($Q$8*(Table24[[#This Row],[SHL_TAR_IDPs]]*$AF$3+Table24[[#This Row],[SHL_TAR_HC]]*$AF$4+Table24[[#This Row],[SHL_TAR_NDP]]*$AF$5)/$AF$18,0)</f>
        <v>1052</v>
      </c>
      <c r="AG73" s="49">
        <f>ROUND($Q$8*(Table24[[#This Row],[SHL_TAR_IDPs]]*$AG$3+Table24[[#This Row],[SHL_TAR_HC]]*$AG$4+Table24[[#This Row],[SHL_TAR_NDP]]*$AG$5)/$AG$18,0)</f>
        <v>2153</v>
      </c>
      <c r="AH73" s="49">
        <f>ROUND($Q$8*(Table24[[#This Row],[SHL_TAR_IDPs]]*$AH$3+Table24[[#This Row],[SHL_TAR_HC]]*$AH$4+Table24[[#This Row],[SHL_TAR_NDP]]*$AH$5)/$AH$18,0)</f>
        <v>834</v>
      </c>
      <c r="AI73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</row>
    <row r="74" spans="1:35" x14ac:dyDescent="0.55000000000000004">
      <c r="A74" t="s">
        <v>446</v>
      </c>
      <c r="B74" t="s">
        <v>106</v>
      </c>
      <c r="C74" t="s">
        <v>296</v>
      </c>
      <c r="D74" s="58">
        <f>_xlfn.XLOOKUP($B74, 'Prioritization calculation'!D:D, 'Prioritization calculation'!X:X, "")</f>
        <v>3</v>
      </c>
      <c r="E74" s="58">
        <v>4</v>
      </c>
      <c r="F74" s="58">
        <v>3</v>
      </c>
      <c r="G74" s="58" t="s">
        <v>521</v>
      </c>
      <c r="H74" s="58">
        <v>17767</v>
      </c>
      <c r="I74" s="58">
        <v>0</v>
      </c>
      <c r="J74" s="58">
        <v>0</v>
      </c>
      <c r="K74" s="58"/>
      <c r="L74" s="58">
        <v>0</v>
      </c>
      <c r="M74" s="58">
        <v>10238</v>
      </c>
      <c r="N74" s="58">
        <v>0</v>
      </c>
      <c r="O74" s="97">
        <f>SUM(Table24[[#This Row],[SHL_PIN_IDPs]:[SHL_PIN_NDP]])</f>
        <v>0</v>
      </c>
      <c r="P74" s="98">
        <v>0</v>
      </c>
      <c r="Q74" s="98">
        <v>0</v>
      </c>
      <c r="R74" s="98">
        <v>0</v>
      </c>
      <c r="S74" s="98">
        <f>ROUND(SUM(Table24[[#This Row],[SHL_TAR_IDPs]:[SHL_TAR_NDP]]),0)</f>
        <v>0</v>
      </c>
      <c r="T74" s="48">
        <f>SUM(Table24[[#This Row],[HIDE IDP]:[HIDE NDP]])</f>
        <v>0</v>
      </c>
      <c r="U74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0</v>
      </c>
      <c r="V74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0</v>
      </c>
      <c r="W74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0</v>
      </c>
      <c r="X74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0</v>
      </c>
      <c r="Y74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0</v>
      </c>
      <c r="Z74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74" s="49">
        <f>ROUND($P$8*(Table24[[#This Row],[SHL_TAR_IDPs]]*$AA$3+Table24[[#This Row],[SHL_TAR_HC]]*$AA$4+Table24[[#This Row],[SHL_TAR_NDP]]*$AA$5)/$AA$18,0)</f>
        <v>0</v>
      </c>
      <c r="AB74" s="49">
        <f>ROUND($P$8*(Table24[[#This Row],[SHL_TAR_IDPs]]*$AB$3+Table24[[#This Row],[SHL_TAR_HC]]*$AB$4+Table24[[#This Row],[SHL_TAR_NDP]]*$AB$5)/$AB$18,0)</f>
        <v>0</v>
      </c>
      <c r="AC74" s="49">
        <f>ROUND($Q$8*(Table24[[#This Row],[SHL_TAR_IDPs]]*$AC$3+Table24[[#This Row],[SHL_TAR_HC]]*$AC$4+Table24[[#This Row],[SHL_TAR_NDP]]*$AC$5)/$AC$18,0)</f>
        <v>0</v>
      </c>
      <c r="AD74" s="49">
        <f>ROUND($Q$8*(Table24[[#This Row],[SHL_TAR_IDPs]]*$AD$3+Table24[[#This Row],[SHL_TAR_HC]]*$AD$4+Table24[[#This Row],[SHL_TAR_NDP]]*$AD$5)/$AD$18,0)</f>
        <v>0</v>
      </c>
      <c r="AE74" s="49">
        <f>ROUND($Q$8*(Table24[[#This Row],[SHL_TAR_IDPs]]*$AE$3+Table24[[#This Row],[SHL_TAR_HC]]*$AE$4+Table24[[#This Row],[SHL_TAR_NDP]]*$AE$5)/$AE$18,0)</f>
        <v>0</v>
      </c>
      <c r="AF74" s="49">
        <f>ROUND($Q$8*(Table24[[#This Row],[SHL_TAR_IDPs]]*$AF$3+Table24[[#This Row],[SHL_TAR_HC]]*$AF$4+Table24[[#This Row],[SHL_TAR_NDP]]*$AF$5)/$AF$18,0)</f>
        <v>0</v>
      </c>
      <c r="AG74" s="49">
        <f>ROUND($Q$8*(Table24[[#This Row],[SHL_TAR_IDPs]]*$AG$3+Table24[[#This Row],[SHL_TAR_HC]]*$AG$4+Table24[[#This Row],[SHL_TAR_NDP]]*$AG$5)/$AG$18,0)</f>
        <v>0</v>
      </c>
      <c r="AH74" s="49">
        <f>ROUND($Q$8*(Table24[[#This Row],[SHL_TAR_IDPs]]*$AH$3+Table24[[#This Row],[SHL_TAR_HC]]*$AH$4+Table24[[#This Row],[SHL_TAR_NDP]]*$AH$5)/$AH$18,0)</f>
        <v>0</v>
      </c>
      <c r="AI74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</row>
    <row r="75" spans="1:35" x14ac:dyDescent="0.55000000000000004">
      <c r="A75" t="s">
        <v>447</v>
      </c>
      <c r="B75" t="s">
        <v>107</v>
      </c>
      <c r="C75" t="s">
        <v>297</v>
      </c>
      <c r="D75" s="58">
        <f>_xlfn.XLOOKUP($B75, 'Prioritization calculation'!D:D, 'Prioritization calculation'!X:X, "")</f>
        <v>3</v>
      </c>
      <c r="E75" s="58">
        <v>3</v>
      </c>
      <c r="F75" s="58">
        <v>3</v>
      </c>
      <c r="G75" s="58" t="s">
        <v>521</v>
      </c>
      <c r="H75" s="58">
        <v>36995</v>
      </c>
      <c r="I75" s="58">
        <v>0</v>
      </c>
      <c r="J75" s="58">
        <v>0</v>
      </c>
      <c r="K75" s="58"/>
      <c r="L75" s="58">
        <v>0</v>
      </c>
      <c r="M75" s="58">
        <v>0</v>
      </c>
      <c r="N75" s="58">
        <v>154.88196471633455</v>
      </c>
      <c r="O75" s="97">
        <f>SUM(Table24[[#This Row],[SHL_PIN_IDPs]:[SHL_PIN_NDP]])</f>
        <v>44526</v>
      </c>
      <c r="P75" s="98">
        <v>12948</v>
      </c>
      <c r="Q75" s="98">
        <v>6690</v>
      </c>
      <c r="R75" s="98">
        <v>24888</v>
      </c>
      <c r="S75" s="98">
        <f>ROUND(SUM(Table24[[#This Row],[SHL_TAR_IDPs]:[SHL_TAR_NDP]]),0)</f>
        <v>6149</v>
      </c>
      <c r="T75" s="48">
        <f>SUM(Table24[[#This Row],[HIDE IDP]:[HIDE NDP]])</f>
        <v>6149.4</v>
      </c>
      <c r="U75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2590</v>
      </c>
      <c r="V75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1070.4000000000001</v>
      </c>
      <c r="W75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2489</v>
      </c>
      <c r="X75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2590</v>
      </c>
      <c r="Y75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1070.4000000000001</v>
      </c>
      <c r="Z75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2489</v>
      </c>
      <c r="AA75" s="49">
        <f>ROUND($P$8*(Table24[[#This Row],[SHL_TAR_IDPs]]*$AA$3+Table24[[#This Row],[SHL_TAR_HC]]*$AA$4+Table24[[#This Row],[SHL_TAR_NDP]]*$AA$5)/$AA$18,0)</f>
        <v>523</v>
      </c>
      <c r="AB75" s="49">
        <f>ROUND($P$8*(Table24[[#This Row],[SHL_TAR_IDPs]]*$AB$3+Table24[[#This Row],[SHL_TAR_HC]]*$AB$4+Table24[[#This Row],[SHL_TAR_NDP]]*$AB$5)/$AB$18,0)</f>
        <v>523</v>
      </c>
      <c r="AC75" s="49">
        <f>ROUND($Q$8*(Table24[[#This Row],[SHL_TAR_IDPs]]*$AC$3+Table24[[#This Row],[SHL_TAR_HC]]*$AC$4+Table24[[#This Row],[SHL_TAR_NDP]]*$AC$5)/$AC$18,0)</f>
        <v>26</v>
      </c>
      <c r="AD75" s="49">
        <f>ROUND($Q$8*(Table24[[#This Row],[SHL_TAR_IDPs]]*$AD$3+Table24[[#This Row],[SHL_TAR_HC]]*$AD$4+Table24[[#This Row],[SHL_TAR_NDP]]*$AD$5)/$AD$18,0)</f>
        <v>26</v>
      </c>
      <c r="AE75" s="49">
        <f>ROUND($Q$8*(Table24[[#This Row],[SHL_TAR_IDPs]]*$AE$3+Table24[[#This Row],[SHL_TAR_HC]]*$AE$4+Table24[[#This Row],[SHL_TAR_NDP]]*$AE$5)/$AE$18,0)</f>
        <v>61</v>
      </c>
      <c r="AF75" s="49">
        <f>ROUND($Q$8*(Table24[[#This Row],[SHL_TAR_IDPs]]*$AF$3+Table24[[#This Row],[SHL_TAR_HC]]*$AF$4+Table24[[#This Row],[SHL_TAR_NDP]]*$AF$5)/$AF$18,0)</f>
        <v>123</v>
      </c>
      <c r="AG75" s="49">
        <f>ROUND($Q$8*(Table24[[#This Row],[SHL_TAR_IDPs]]*$AG$3+Table24[[#This Row],[SHL_TAR_HC]]*$AG$4+Table24[[#This Row],[SHL_TAR_NDP]]*$AG$5)/$AG$18,0)</f>
        <v>316</v>
      </c>
      <c r="AH75" s="49">
        <f>ROUND($Q$8*(Table24[[#This Row],[SHL_TAR_IDPs]]*$AH$3+Table24[[#This Row],[SHL_TAR_HC]]*$AH$4+Table24[[#This Row],[SHL_TAR_NDP]]*$AH$5)/$AH$18,0)</f>
        <v>63</v>
      </c>
      <c r="AI75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</row>
    <row r="76" spans="1:35" x14ac:dyDescent="0.55000000000000004">
      <c r="A76" t="s">
        <v>447</v>
      </c>
      <c r="B76" t="s">
        <v>108</v>
      </c>
      <c r="C76" t="s">
        <v>298</v>
      </c>
      <c r="D76" s="58">
        <f>_xlfn.XLOOKUP($B76, 'Prioritization calculation'!D:D, 'Prioritization calculation'!X:X, "")</f>
        <v>1</v>
      </c>
      <c r="E76" s="58">
        <v>3</v>
      </c>
      <c r="F76" s="58">
        <v>3</v>
      </c>
      <c r="G76" s="58" t="s">
        <v>521</v>
      </c>
      <c r="H76" s="58">
        <v>42615</v>
      </c>
      <c r="I76" s="58">
        <v>1200</v>
      </c>
      <c r="J76" s="58">
        <v>0</v>
      </c>
      <c r="K76" s="58"/>
      <c r="L76" s="58">
        <v>0</v>
      </c>
      <c r="M76" s="58">
        <v>0</v>
      </c>
      <c r="N76" s="58">
        <v>0</v>
      </c>
      <c r="O76" s="97">
        <f>SUM(Table24[[#This Row],[SHL_PIN_IDPs]:[SHL_PIN_NDP]])</f>
        <v>60958</v>
      </c>
      <c r="P76" s="98">
        <v>15746</v>
      </c>
      <c r="Q76" s="98">
        <v>9115</v>
      </c>
      <c r="R76" s="98">
        <v>36097</v>
      </c>
      <c r="S76" s="98">
        <f>ROUND(SUM(Table24[[#This Row],[SHL_TAR_IDPs]:[SHL_TAR_NDP]]),0)</f>
        <v>24652</v>
      </c>
      <c r="T76" s="48">
        <f>SUM(Table24[[#This Row],[HIDE IDP]:[HIDE NDP]])</f>
        <v>24652.2</v>
      </c>
      <c r="U76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9448</v>
      </c>
      <c r="V76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4375.2</v>
      </c>
      <c r="W76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10829</v>
      </c>
      <c r="X76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9448</v>
      </c>
      <c r="Y76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4375.2</v>
      </c>
      <c r="Z76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10829</v>
      </c>
      <c r="AA76" s="49">
        <f>ROUND($P$8*(Table24[[#This Row],[SHL_TAR_IDPs]]*$AA$3+Table24[[#This Row],[SHL_TAR_HC]]*$AA$4+Table24[[#This Row],[SHL_TAR_NDP]]*$AA$5)/$AA$18,0)</f>
        <v>2095</v>
      </c>
      <c r="AB76" s="49">
        <f>ROUND($P$8*(Table24[[#This Row],[SHL_TAR_IDPs]]*$AB$3+Table24[[#This Row],[SHL_TAR_HC]]*$AB$4+Table24[[#This Row],[SHL_TAR_NDP]]*$AB$5)/$AB$18,0)</f>
        <v>2095</v>
      </c>
      <c r="AC76" s="49">
        <f>ROUND($Q$8*(Table24[[#This Row],[SHL_TAR_IDPs]]*$AC$3+Table24[[#This Row],[SHL_TAR_HC]]*$AC$4+Table24[[#This Row],[SHL_TAR_NDP]]*$AC$5)/$AC$18,0)</f>
        <v>94</v>
      </c>
      <c r="AD76" s="49">
        <f>ROUND($Q$8*(Table24[[#This Row],[SHL_TAR_IDPs]]*$AD$3+Table24[[#This Row],[SHL_TAR_HC]]*$AD$4+Table24[[#This Row],[SHL_TAR_NDP]]*$AD$5)/$AD$18,0)</f>
        <v>94</v>
      </c>
      <c r="AE76" s="49">
        <f>ROUND($Q$8*(Table24[[#This Row],[SHL_TAR_IDPs]]*$AE$3+Table24[[#This Row],[SHL_TAR_HC]]*$AE$4+Table24[[#This Row],[SHL_TAR_NDP]]*$AE$5)/$AE$18,0)</f>
        <v>247</v>
      </c>
      <c r="AF76" s="49">
        <f>ROUND($Q$8*(Table24[[#This Row],[SHL_TAR_IDPs]]*$AF$3+Table24[[#This Row],[SHL_TAR_HC]]*$AF$4+Table24[[#This Row],[SHL_TAR_NDP]]*$AF$5)/$AF$18,0)</f>
        <v>493</v>
      </c>
      <c r="AG76" s="49">
        <f>ROUND($Q$8*(Table24[[#This Row],[SHL_TAR_IDPs]]*$AG$3+Table24[[#This Row],[SHL_TAR_HC]]*$AG$4+Table24[[#This Row],[SHL_TAR_NDP]]*$AG$5)/$AG$18,0)</f>
        <v>1304</v>
      </c>
      <c r="AH76" s="49">
        <f>ROUND($Q$8*(Table24[[#This Row],[SHL_TAR_IDPs]]*$AH$3+Table24[[#This Row],[SHL_TAR_HC]]*$AH$4+Table24[[#This Row],[SHL_TAR_NDP]]*$AH$5)/$AH$18,0)</f>
        <v>233</v>
      </c>
      <c r="AI76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</row>
    <row r="77" spans="1:35" x14ac:dyDescent="0.55000000000000004">
      <c r="A77" t="s">
        <v>447</v>
      </c>
      <c r="B77" t="s">
        <v>109</v>
      </c>
      <c r="C77" t="s">
        <v>299</v>
      </c>
      <c r="D77" s="58">
        <f>_xlfn.XLOOKUP($B77, 'Prioritization calculation'!D:D, 'Prioritization calculation'!X:X, "")</f>
        <v>1</v>
      </c>
      <c r="E77" s="58">
        <v>2</v>
      </c>
      <c r="F77" s="58">
        <v>3</v>
      </c>
      <c r="G77" s="58" t="s">
        <v>521</v>
      </c>
      <c r="H77" s="58">
        <v>690</v>
      </c>
      <c r="I77" s="58">
        <v>6625</v>
      </c>
      <c r="J77" s="58">
        <v>0</v>
      </c>
      <c r="K77" s="58"/>
      <c r="L77" s="58">
        <v>18805</v>
      </c>
      <c r="M77" s="58">
        <v>0</v>
      </c>
      <c r="N77" s="58">
        <v>0</v>
      </c>
      <c r="O77" s="97">
        <f>SUM(Table24[[#This Row],[SHL_PIN_IDPs]:[SHL_PIN_NDP]])</f>
        <v>0</v>
      </c>
      <c r="P77" s="98">
        <v>0</v>
      </c>
      <c r="Q77" s="98">
        <v>0</v>
      </c>
      <c r="R77" s="98">
        <v>0</v>
      </c>
      <c r="S77" s="98">
        <f>ROUND(SUM(Table24[[#This Row],[SHL_TAR_IDPs]:[SHL_TAR_NDP]]),0)</f>
        <v>0</v>
      </c>
      <c r="T77" s="48">
        <f>SUM(Table24[[#This Row],[HIDE IDP]:[HIDE NDP]])</f>
        <v>0</v>
      </c>
      <c r="U77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0</v>
      </c>
      <c r="V77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0</v>
      </c>
      <c r="W77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0</v>
      </c>
      <c r="X77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0</v>
      </c>
      <c r="Y77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0</v>
      </c>
      <c r="Z77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77" s="49">
        <f>ROUND($P$8*(Table24[[#This Row],[SHL_TAR_IDPs]]*$AA$3+Table24[[#This Row],[SHL_TAR_HC]]*$AA$4+Table24[[#This Row],[SHL_TAR_NDP]]*$AA$5)/$AA$18,0)</f>
        <v>0</v>
      </c>
      <c r="AB77" s="49">
        <f>ROUND($P$8*(Table24[[#This Row],[SHL_TAR_IDPs]]*$AB$3+Table24[[#This Row],[SHL_TAR_HC]]*$AB$4+Table24[[#This Row],[SHL_TAR_NDP]]*$AB$5)/$AB$18,0)</f>
        <v>0</v>
      </c>
      <c r="AC77" s="49">
        <f>ROUND($Q$8*(Table24[[#This Row],[SHL_TAR_IDPs]]*$AC$3+Table24[[#This Row],[SHL_TAR_HC]]*$AC$4+Table24[[#This Row],[SHL_TAR_NDP]]*$AC$5)/$AC$18,0)</f>
        <v>0</v>
      </c>
      <c r="AD77" s="49">
        <f>ROUND($Q$8*(Table24[[#This Row],[SHL_TAR_IDPs]]*$AD$3+Table24[[#This Row],[SHL_TAR_HC]]*$AD$4+Table24[[#This Row],[SHL_TAR_NDP]]*$AD$5)/$AD$18,0)</f>
        <v>0</v>
      </c>
      <c r="AE77" s="49">
        <f>ROUND($Q$8*(Table24[[#This Row],[SHL_TAR_IDPs]]*$AE$3+Table24[[#This Row],[SHL_TAR_HC]]*$AE$4+Table24[[#This Row],[SHL_TAR_NDP]]*$AE$5)/$AE$18,0)</f>
        <v>0</v>
      </c>
      <c r="AF77" s="49">
        <f>ROUND($Q$8*(Table24[[#This Row],[SHL_TAR_IDPs]]*$AF$3+Table24[[#This Row],[SHL_TAR_HC]]*$AF$4+Table24[[#This Row],[SHL_TAR_NDP]]*$AF$5)/$AF$18,0)</f>
        <v>0</v>
      </c>
      <c r="AG77" s="49">
        <f>ROUND($Q$8*(Table24[[#This Row],[SHL_TAR_IDPs]]*$AG$3+Table24[[#This Row],[SHL_TAR_HC]]*$AG$4+Table24[[#This Row],[SHL_TAR_NDP]]*$AG$5)/$AG$18,0)</f>
        <v>0</v>
      </c>
      <c r="AH77" s="49">
        <f>ROUND($Q$8*(Table24[[#This Row],[SHL_TAR_IDPs]]*$AH$3+Table24[[#This Row],[SHL_TAR_HC]]*$AH$4+Table24[[#This Row],[SHL_TAR_NDP]]*$AH$5)/$AH$18,0)</f>
        <v>0</v>
      </c>
      <c r="AI77" s="49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>0</v>
      </c>
    </row>
    <row r="78" spans="1:35" x14ac:dyDescent="0.55000000000000004">
      <c r="A78" t="s">
        <v>447</v>
      </c>
      <c r="B78" t="s">
        <v>110</v>
      </c>
      <c r="C78" t="s">
        <v>300</v>
      </c>
      <c r="D78" s="58">
        <f>_xlfn.XLOOKUP($B78, 'Prioritization calculation'!D:D, 'Prioritization calculation'!X:X, "")</f>
        <v>3</v>
      </c>
      <c r="E78" s="58">
        <v>3</v>
      </c>
      <c r="F78" s="58">
        <v>3</v>
      </c>
      <c r="G78" s="58" t="s">
        <v>521</v>
      </c>
      <c r="H78" s="58">
        <v>0</v>
      </c>
      <c r="I78" s="58">
        <v>0</v>
      </c>
      <c r="J78" s="58">
        <v>0</v>
      </c>
      <c r="K78" s="58"/>
      <c r="L78" s="58">
        <v>6285</v>
      </c>
      <c r="M78" s="58">
        <v>0</v>
      </c>
      <c r="N78" s="58">
        <v>0</v>
      </c>
      <c r="O78" s="97">
        <f>SUM(Table24[[#This Row],[SHL_PIN_IDPs]:[SHL_PIN_NDP]])</f>
        <v>22199</v>
      </c>
      <c r="P78" s="98">
        <v>0</v>
      </c>
      <c r="Q78" s="98">
        <v>0</v>
      </c>
      <c r="R78" s="98">
        <v>22199</v>
      </c>
      <c r="S78" s="98">
        <f>ROUND(SUM(Table24[[#This Row],[SHL_TAR_IDPs]:[SHL_TAR_NDP]]),0)</f>
        <v>0</v>
      </c>
      <c r="T78" s="48">
        <f>SUM(Table24[[#This Row],[HIDE IDP]:[HIDE NDP]])</f>
        <v>2220</v>
      </c>
      <c r="U78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0</v>
      </c>
      <c r="V78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0</v>
      </c>
      <c r="W78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2220</v>
      </c>
      <c r="X78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0</v>
      </c>
      <c r="Y78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0</v>
      </c>
      <c r="Z78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78" s="49">
        <f>ROUND($P$8*(Table24[[#This Row],[SHL_TAR_IDPs]]*$AA$3+Table24[[#This Row],[SHL_TAR_HC]]*$AA$4+Table24[[#This Row],[SHL_TAR_NDP]]*$AA$5)/$AA$18,0)</f>
        <v>0</v>
      </c>
      <c r="AB78" s="49">
        <f>ROUND($P$8*(Table24[[#This Row],[SHL_TAR_IDPs]]*$AB$3+Table24[[#This Row],[SHL_TAR_HC]]*$AB$4+Table24[[#This Row],[SHL_TAR_NDP]]*$AB$5)/$AB$18,0)</f>
        <v>0</v>
      </c>
      <c r="AC78" s="49">
        <f>ROUND($Q$8*(Table24[[#This Row],[SHL_TAR_IDPs]]*$AC$3+Table24[[#This Row],[SHL_TAR_HC]]*$AC$4+Table24[[#This Row],[SHL_TAR_NDP]]*$AC$5)/$AC$18,0)</f>
        <v>0</v>
      </c>
      <c r="AD78" s="49">
        <f>ROUND($Q$8*(Table24[[#This Row],[SHL_TAR_IDPs]]*$AD$3+Table24[[#This Row],[SHL_TAR_HC]]*$AD$4+Table24[[#This Row],[SHL_TAR_NDP]]*$AD$5)/$AD$18,0)</f>
        <v>0</v>
      </c>
      <c r="AE78" s="49">
        <f>ROUND($Q$8*(Table24[[#This Row],[SHL_TAR_IDPs]]*$AE$3+Table24[[#This Row],[SHL_TAR_HC]]*$AE$4+Table24[[#This Row],[SHL_TAR_NDP]]*$AE$5)/$AE$18,0)</f>
        <v>0</v>
      </c>
      <c r="AF78" s="49">
        <f>ROUND($Q$8*(Table24[[#This Row],[SHL_TAR_IDPs]]*$AF$3+Table24[[#This Row],[SHL_TAR_HC]]*$AF$4+Table24[[#This Row],[SHL_TAR_NDP]]*$AF$5)/$AF$18,0)</f>
        <v>0</v>
      </c>
      <c r="AG78" s="49">
        <f>ROUND($Q$8*(Table24[[#This Row],[SHL_TAR_IDPs]]*$AG$3+Table24[[#This Row],[SHL_TAR_HC]]*$AG$4+Table24[[#This Row],[SHL_TAR_NDP]]*$AG$5)/$AG$18,0)</f>
        <v>0</v>
      </c>
      <c r="AH78" s="49">
        <f>ROUND($Q$8*(Table24[[#This Row],[SHL_TAR_IDPs]]*$AH$3+Table24[[#This Row],[SHL_TAR_HC]]*$AH$4+Table24[[#This Row],[SHL_TAR_NDP]]*$AH$5)/$AH$18,0)</f>
        <v>0</v>
      </c>
      <c r="AI78" s="49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>0</v>
      </c>
    </row>
    <row r="79" spans="1:35" x14ac:dyDescent="0.55000000000000004">
      <c r="A79" t="s">
        <v>447</v>
      </c>
      <c r="B79" t="s">
        <v>111</v>
      </c>
      <c r="C79" t="s">
        <v>301</v>
      </c>
      <c r="D79" s="58">
        <f>_xlfn.XLOOKUP($B79, 'Prioritization calculation'!D:D, 'Prioritization calculation'!X:X, "")</f>
        <v>3</v>
      </c>
      <c r="E79" s="58">
        <v>4</v>
      </c>
      <c r="F79" s="58">
        <v>4</v>
      </c>
      <c r="G79" s="58" t="s">
        <v>521</v>
      </c>
      <c r="H79" s="58">
        <v>0</v>
      </c>
      <c r="I79" s="58">
        <v>0</v>
      </c>
      <c r="J79" s="58">
        <v>0</v>
      </c>
      <c r="K79" s="58"/>
      <c r="L79" s="58">
        <v>4045</v>
      </c>
      <c r="M79" s="58">
        <v>0</v>
      </c>
      <c r="N79" s="58">
        <v>499.99999999999989</v>
      </c>
      <c r="O79" s="97">
        <f>SUM(Table24[[#This Row],[SHL_PIN_IDPs]:[SHL_PIN_NDP]])</f>
        <v>66497</v>
      </c>
      <c r="P79" s="98">
        <v>0</v>
      </c>
      <c r="Q79" s="98">
        <v>0</v>
      </c>
      <c r="R79" s="98">
        <v>66497</v>
      </c>
      <c r="S79" s="98">
        <f>ROUND(SUM(Table24[[#This Row],[SHL_TAR_IDPs]:[SHL_TAR_NDP]]),0)</f>
        <v>13300</v>
      </c>
      <c r="T79" s="48">
        <f>SUM(Table24[[#This Row],[HIDE IDP]:[HIDE NDP]])</f>
        <v>13299.5</v>
      </c>
      <c r="U79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0</v>
      </c>
      <c r="V79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0</v>
      </c>
      <c r="W79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13299.5</v>
      </c>
      <c r="X79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0</v>
      </c>
      <c r="Y79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0</v>
      </c>
      <c r="Z79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13299.5</v>
      </c>
      <c r="AA79" s="49">
        <f>ROUND($P$8*(Table24[[#This Row],[SHL_TAR_IDPs]]*$AA$3+Table24[[#This Row],[SHL_TAR_HC]]*$AA$4+Table24[[#This Row],[SHL_TAR_NDP]]*$AA$5)/$AA$18,0)</f>
        <v>1130</v>
      </c>
      <c r="AB79" s="49">
        <f>ROUND($P$8*(Table24[[#This Row],[SHL_TAR_IDPs]]*$AB$3+Table24[[#This Row],[SHL_TAR_HC]]*$AB$4+Table24[[#This Row],[SHL_TAR_NDP]]*$AB$5)/$AB$18,0)</f>
        <v>1130</v>
      </c>
      <c r="AC79" s="49">
        <f>ROUND($Q$8*(Table24[[#This Row],[SHL_TAR_IDPs]]*$AC$3+Table24[[#This Row],[SHL_TAR_HC]]*$AC$4+Table24[[#This Row],[SHL_TAR_NDP]]*$AC$5)/$AC$18,0)</f>
        <v>0</v>
      </c>
      <c r="AD79" s="49">
        <f>ROUND($Q$8*(Table24[[#This Row],[SHL_TAR_IDPs]]*$AD$3+Table24[[#This Row],[SHL_TAR_HC]]*$AD$4+Table24[[#This Row],[SHL_TAR_NDP]]*$AD$5)/$AD$18,0)</f>
        <v>0</v>
      </c>
      <c r="AE79" s="49">
        <f>ROUND($Q$8*(Table24[[#This Row],[SHL_TAR_IDPs]]*$AE$3+Table24[[#This Row],[SHL_TAR_HC]]*$AE$4+Table24[[#This Row],[SHL_TAR_NDP]]*$AE$5)/$AE$18,0)</f>
        <v>133</v>
      </c>
      <c r="AF79" s="49">
        <f>ROUND($Q$8*(Table24[[#This Row],[SHL_TAR_IDPs]]*$AF$3+Table24[[#This Row],[SHL_TAR_HC]]*$AF$4+Table24[[#This Row],[SHL_TAR_NDP]]*$AF$5)/$AF$18,0)</f>
        <v>266</v>
      </c>
      <c r="AG79" s="49">
        <f>ROUND($Q$8*(Table24[[#This Row],[SHL_TAR_IDPs]]*$AG$3+Table24[[#This Row],[SHL_TAR_HC]]*$AG$4+Table24[[#This Row],[SHL_TAR_NDP]]*$AG$5)/$AG$18,0)</f>
        <v>931</v>
      </c>
      <c r="AH79" s="49">
        <f>ROUND($Q$8*(Table24[[#This Row],[SHL_TAR_IDPs]]*$AH$3+Table24[[#This Row],[SHL_TAR_HC]]*$AH$4+Table24[[#This Row],[SHL_TAR_NDP]]*$AH$5)/$AH$18,0)</f>
        <v>0</v>
      </c>
      <c r="AI79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</row>
    <row r="80" spans="1:35" x14ac:dyDescent="0.55000000000000004">
      <c r="A80" t="s">
        <v>447</v>
      </c>
      <c r="B80" t="s">
        <v>112</v>
      </c>
      <c r="C80" t="s">
        <v>302</v>
      </c>
      <c r="D80" s="58">
        <f>_xlfn.XLOOKUP($B80, 'Prioritization calculation'!D:D, 'Prioritization calculation'!X:X, "")</f>
        <v>1</v>
      </c>
      <c r="E80" s="58">
        <v>4</v>
      </c>
      <c r="F80" s="58">
        <v>3</v>
      </c>
      <c r="G80" s="58" t="s">
        <v>521</v>
      </c>
      <c r="H80" s="58">
        <v>2545</v>
      </c>
      <c r="I80" s="58">
        <v>3250</v>
      </c>
      <c r="J80" s="58">
        <v>0</v>
      </c>
      <c r="K80" s="58">
        <v>1500</v>
      </c>
      <c r="L80" s="58">
        <v>0</v>
      </c>
      <c r="M80" s="58">
        <v>0</v>
      </c>
      <c r="N80" s="58">
        <v>748.90350877192964</v>
      </c>
      <c r="O80" s="97">
        <f>SUM(Table24[[#This Row],[SHL_PIN_IDPs]:[SHL_PIN_NDP]])</f>
        <v>0</v>
      </c>
      <c r="P80" s="98">
        <v>0</v>
      </c>
      <c r="Q80" s="98">
        <v>0</v>
      </c>
      <c r="R80" s="98">
        <v>0</v>
      </c>
      <c r="S80" s="98">
        <f>ROUND(SUM(Table24[[#This Row],[SHL_TAR_IDPs]:[SHL_TAR_NDP]]),0)</f>
        <v>0</v>
      </c>
      <c r="T80" s="48">
        <f>SUM(Table24[[#This Row],[HIDE IDP]:[HIDE NDP]])</f>
        <v>0</v>
      </c>
      <c r="U80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0</v>
      </c>
      <c r="V80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0</v>
      </c>
      <c r="W80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0</v>
      </c>
      <c r="X80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0</v>
      </c>
      <c r="Y80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0</v>
      </c>
      <c r="Z80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80" s="49">
        <f>ROUND($P$8*(Table24[[#This Row],[SHL_TAR_IDPs]]*$AA$3+Table24[[#This Row],[SHL_TAR_HC]]*$AA$4+Table24[[#This Row],[SHL_TAR_NDP]]*$AA$5)/$AA$18,0)</f>
        <v>0</v>
      </c>
      <c r="AB80" s="49">
        <f>ROUND($P$8*(Table24[[#This Row],[SHL_TAR_IDPs]]*$AB$3+Table24[[#This Row],[SHL_TAR_HC]]*$AB$4+Table24[[#This Row],[SHL_TAR_NDP]]*$AB$5)/$AB$18,0)</f>
        <v>0</v>
      </c>
      <c r="AC80" s="49">
        <f>ROUND($Q$8*(Table24[[#This Row],[SHL_TAR_IDPs]]*$AC$3+Table24[[#This Row],[SHL_TAR_HC]]*$AC$4+Table24[[#This Row],[SHL_TAR_NDP]]*$AC$5)/$AC$18,0)</f>
        <v>0</v>
      </c>
      <c r="AD80" s="49">
        <f>ROUND($Q$8*(Table24[[#This Row],[SHL_TAR_IDPs]]*$AD$3+Table24[[#This Row],[SHL_TAR_HC]]*$AD$4+Table24[[#This Row],[SHL_TAR_NDP]]*$AD$5)/$AD$18,0)</f>
        <v>0</v>
      </c>
      <c r="AE80" s="49">
        <f>ROUND($Q$8*(Table24[[#This Row],[SHL_TAR_IDPs]]*$AE$3+Table24[[#This Row],[SHL_TAR_HC]]*$AE$4+Table24[[#This Row],[SHL_TAR_NDP]]*$AE$5)/$AE$18,0)</f>
        <v>0</v>
      </c>
      <c r="AF80" s="49">
        <f>ROUND($Q$8*(Table24[[#This Row],[SHL_TAR_IDPs]]*$AF$3+Table24[[#This Row],[SHL_TAR_HC]]*$AF$4+Table24[[#This Row],[SHL_TAR_NDP]]*$AF$5)/$AF$18,0)</f>
        <v>0</v>
      </c>
      <c r="AG80" s="49">
        <f>ROUND($Q$8*(Table24[[#This Row],[SHL_TAR_IDPs]]*$AG$3+Table24[[#This Row],[SHL_TAR_HC]]*$AG$4+Table24[[#This Row],[SHL_TAR_NDP]]*$AG$5)/$AG$18,0)</f>
        <v>0</v>
      </c>
      <c r="AH80" s="49">
        <f>ROUND($Q$8*(Table24[[#This Row],[SHL_TAR_IDPs]]*$AH$3+Table24[[#This Row],[SHL_TAR_HC]]*$AH$4+Table24[[#This Row],[SHL_TAR_NDP]]*$AH$5)/$AH$18,0)</f>
        <v>0</v>
      </c>
      <c r="AI80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</row>
    <row r="81" spans="1:35" x14ac:dyDescent="0.55000000000000004">
      <c r="A81" t="s">
        <v>447</v>
      </c>
      <c r="B81" t="s">
        <v>113</v>
      </c>
      <c r="C81" t="s">
        <v>303</v>
      </c>
      <c r="D81" s="58">
        <f>_xlfn.XLOOKUP($B81, 'Prioritization calculation'!D:D, 'Prioritization calculation'!X:X, "")</f>
        <v>3</v>
      </c>
      <c r="E81" s="58">
        <v>3</v>
      </c>
      <c r="F81" s="58">
        <v>3</v>
      </c>
      <c r="G81" s="58" t="s">
        <v>521</v>
      </c>
      <c r="H81" s="58">
        <v>8004</v>
      </c>
      <c r="I81" s="58">
        <v>0</v>
      </c>
      <c r="J81" s="58">
        <v>0</v>
      </c>
      <c r="K81" s="58"/>
      <c r="L81" s="58">
        <v>0</v>
      </c>
      <c r="M81" s="58">
        <v>0</v>
      </c>
      <c r="N81" s="58">
        <v>0</v>
      </c>
      <c r="O81" s="97">
        <f>SUM(Table24[[#This Row],[SHL_PIN_IDPs]:[SHL_PIN_NDP]])</f>
        <v>0</v>
      </c>
      <c r="P81" s="98">
        <v>0</v>
      </c>
      <c r="Q81" s="98">
        <v>0</v>
      </c>
      <c r="R81" s="98">
        <v>0</v>
      </c>
      <c r="S81" s="98">
        <f>ROUND(SUM(Table24[[#This Row],[SHL_TAR_IDPs]:[SHL_TAR_NDP]]),0)</f>
        <v>0</v>
      </c>
      <c r="T81" s="48">
        <f>SUM(Table24[[#This Row],[HIDE IDP]:[HIDE NDP]])</f>
        <v>0</v>
      </c>
      <c r="U81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0</v>
      </c>
      <c r="V81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0</v>
      </c>
      <c r="W81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0</v>
      </c>
      <c r="X81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0</v>
      </c>
      <c r="Y81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0</v>
      </c>
      <c r="Z81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81" s="49">
        <f>ROUND($P$8*(Table24[[#This Row],[SHL_TAR_IDPs]]*$AA$3+Table24[[#This Row],[SHL_TAR_HC]]*$AA$4+Table24[[#This Row],[SHL_TAR_NDP]]*$AA$5)/$AA$18,0)</f>
        <v>0</v>
      </c>
      <c r="AB81" s="49">
        <f>ROUND($P$8*(Table24[[#This Row],[SHL_TAR_IDPs]]*$AB$3+Table24[[#This Row],[SHL_TAR_HC]]*$AB$4+Table24[[#This Row],[SHL_TAR_NDP]]*$AB$5)/$AB$18,0)</f>
        <v>0</v>
      </c>
      <c r="AC81" s="49">
        <f>ROUND($Q$8*(Table24[[#This Row],[SHL_TAR_IDPs]]*$AC$3+Table24[[#This Row],[SHL_TAR_HC]]*$AC$4+Table24[[#This Row],[SHL_TAR_NDP]]*$AC$5)/$AC$18,0)</f>
        <v>0</v>
      </c>
      <c r="AD81" s="49">
        <f>ROUND($Q$8*(Table24[[#This Row],[SHL_TAR_IDPs]]*$AD$3+Table24[[#This Row],[SHL_TAR_HC]]*$AD$4+Table24[[#This Row],[SHL_TAR_NDP]]*$AD$5)/$AD$18,0)</f>
        <v>0</v>
      </c>
      <c r="AE81" s="49">
        <f>ROUND($Q$8*(Table24[[#This Row],[SHL_TAR_IDPs]]*$AE$3+Table24[[#This Row],[SHL_TAR_HC]]*$AE$4+Table24[[#This Row],[SHL_TAR_NDP]]*$AE$5)/$AE$18,0)</f>
        <v>0</v>
      </c>
      <c r="AF81" s="49">
        <f>ROUND($Q$8*(Table24[[#This Row],[SHL_TAR_IDPs]]*$AF$3+Table24[[#This Row],[SHL_TAR_HC]]*$AF$4+Table24[[#This Row],[SHL_TAR_NDP]]*$AF$5)/$AF$18,0)</f>
        <v>0</v>
      </c>
      <c r="AG81" s="49">
        <f>ROUND($Q$8*(Table24[[#This Row],[SHL_TAR_IDPs]]*$AG$3+Table24[[#This Row],[SHL_TAR_HC]]*$AG$4+Table24[[#This Row],[SHL_TAR_NDP]]*$AG$5)/$AG$18,0)</f>
        <v>0</v>
      </c>
      <c r="AH81" s="49">
        <f>ROUND($Q$8*(Table24[[#This Row],[SHL_TAR_IDPs]]*$AH$3+Table24[[#This Row],[SHL_TAR_HC]]*$AH$4+Table24[[#This Row],[SHL_TAR_NDP]]*$AH$5)/$AH$18,0)</f>
        <v>0</v>
      </c>
      <c r="AI81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</row>
    <row r="82" spans="1:35" x14ac:dyDescent="0.55000000000000004">
      <c r="A82" t="s">
        <v>447</v>
      </c>
      <c r="B82" t="s">
        <v>114</v>
      </c>
      <c r="C82" t="s">
        <v>304</v>
      </c>
      <c r="D82" s="58">
        <f>_xlfn.XLOOKUP($B82, 'Prioritization calculation'!D:D, 'Prioritization calculation'!X:X, "")</f>
        <v>3</v>
      </c>
      <c r="E82" s="58">
        <v>3</v>
      </c>
      <c r="F82" s="58">
        <v>3</v>
      </c>
      <c r="G82" s="58" t="s">
        <v>521</v>
      </c>
      <c r="H82" s="58">
        <v>2391</v>
      </c>
      <c r="I82" s="58">
        <v>0</v>
      </c>
      <c r="J82" s="58">
        <v>0</v>
      </c>
      <c r="K82" s="58"/>
      <c r="L82" s="58">
        <v>0</v>
      </c>
      <c r="M82" s="58">
        <v>0</v>
      </c>
      <c r="N82" s="58">
        <v>0</v>
      </c>
      <c r="O82" s="97">
        <f>SUM(Table24[[#This Row],[SHL_PIN_IDPs]:[SHL_PIN_NDP]])</f>
        <v>23405</v>
      </c>
      <c r="P82" s="98">
        <v>0</v>
      </c>
      <c r="Q82" s="98">
        <v>0</v>
      </c>
      <c r="R82" s="98">
        <v>23405</v>
      </c>
      <c r="S82" s="98">
        <f>ROUND(SUM(Table24[[#This Row],[SHL_TAR_IDPs]:[SHL_TAR_NDP]]),0)</f>
        <v>0</v>
      </c>
      <c r="T82" s="48">
        <f>SUM(Table24[[#This Row],[HIDE IDP]:[HIDE NDP]])</f>
        <v>2340.5</v>
      </c>
      <c r="U82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0</v>
      </c>
      <c r="V82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0</v>
      </c>
      <c r="W82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2340.5</v>
      </c>
      <c r="X82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0</v>
      </c>
      <c r="Y82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0</v>
      </c>
      <c r="Z82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82" s="49">
        <f>ROUND($P$8*(Table24[[#This Row],[SHL_TAR_IDPs]]*$AA$3+Table24[[#This Row],[SHL_TAR_HC]]*$AA$4+Table24[[#This Row],[SHL_TAR_NDP]]*$AA$5)/$AA$18,0)</f>
        <v>0</v>
      </c>
      <c r="AB82" s="49">
        <f>ROUND($P$8*(Table24[[#This Row],[SHL_TAR_IDPs]]*$AB$3+Table24[[#This Row],[SHL_TAR_HC]]*$AB$4+Table24[[#This Row],[SHL_TAR_NDP]]*$AB$5)/$AB$18,0)</f>
        <v>0</v>
      </c>
      <c r="AC82" s="49">
        <f>ROUND($Q$8*(Table24[[#This Row],[SHL_TAR_IDPs]]*$AC$3+Table24[[#This Row],[SHL_TAR_HC]]*$AC$4+Table24[[#This Row],[SHL_TAR_NDP]]*$AC$5)/$AC$18,0)</f>
        <v>0</v>
      </c>
      <c r="AD82" s="49">
        <f>ROUND($Q$8*(Table24[[#This Row],[SHL_TAR_IDPs]]*$AD$3+Table24[[#This Row],[SHL_TAR_HC]]*$AD$4+Table24[[#This Row],[SHL_TAR_NDP]]*$AD$5)/$AD$18,0)</f>
        <v>0</v>
      </c>
      <c r="AE82" s="49">
        <f>ROUND($Q$8*(Table24[[#This Row],[SHL_TAR_IDPs]]*$AE$3+Table24[[#This Row],[SHL_TAR_HC]]*$AE$4+Table24[[#This Row],[SHL_TAR_NDP]]*$AE$5)/$AE$18,0)</f>
        <v>0</v>
      </c>
      <c r="AF82" s="49">
        <f>ROUND($Q$8*(Table24[[#This Row],[SHL_TAR_IDPs]]*$AF$3+Table24[[#This Row],[SHL_TAR_HC]]*$AF$4+Table24[[#This Row],[SHL_TAR_NDP]]*$AF$5)/$AF$18,0)</f>
        <v>0</v>
      </c>
      <c r="AG82" s="49">
        <f>ROUND($Q$8*(Table24[[#This Row],[SHL_TAR_IDPs]]*$AG$3+Table24[[#This Row],[SHL_TAR_HC]]*$AG$4+Table24[[#This Row],[SHL_TAR_NDP]]*$AG$5)/$AG$18,0)</f>
        <v>0</v>
      </c>
      <c r="AH82" s="49">
        <f>ROUND($Q$8*(Table24[[#This Row],[SHL_TAR_IDPs]]*$AH$3+Table24[[#This Row],[SHL_TAR_HC]]*$AH$4+Table24[[#This Row],[SHL_TAR_NDP]]*$AH$5)/$AH$18,0)</f>
        <v>0</v>
      </c>
      <c r="AI82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</row>
    <row r="83" spans="1:35" x14ac:dyDescent="0.55000000000000004">
      <c r="A83" t="s">
        <v>447</v>
      </c>
      <c r="B83" t="s">
        <v>115</v>
      </c>
      <c r="C83" t="s">
        <v>305</v>
      </c>
      <c r="D83" s="58">
        <f>_xlfn.XLOOKUP($B83, 'Prioritization calculation'!D:D, 'Prioritization calculation'!X:X, "")</f>
        <v>1</v>
      </c>
      <c r="E83" s="58">
        <v>3</v>
      </c>
      <c r="F83" s="58">
        <v>4</v>
      </c>
      <c r="G83" s="58" t="s">
        <v>521</v>
      </c>
      <c r="H83" s="58">
        <v>1915</v>
      </c>
      <c r="I83" s="58">
        <v>5325</v>
      </c>
      <c r="J83" s="58">
        <v>0</v>
      </c>
      <c r="K83" s="58"/>
      <c r="L83" s="58">
        <v>6700</v>
      </c>
      <c r="M83" s="58">
        <v>0</v>
      </c>
      <c r="N83" s="58">
        <v>0</v>
      </c>
      <c r="O83" s="97">
        <f>SUM(Table24[[#This Row],[SHL_PIN_IDPs]:[SHL_PIN_NDP]])</f>
        <v>17524</v>
      </c>
      <c r="P83" s="98">
        <v>1366</v>
      </c>
      <c r="Q83" s="98">
        <v>683</v>
      </c>
      <c r="R83" s="98">
        <v>15475</v>
      </c>
      <c r="S83" s="98">
        <f>ROUND(SUM(Table24[[#This Row],[SHL_TAR_IDPs]:[SHL_TAR_NDP]]),0)</f>
        <v>5791</v>
      </c>
      <c r="T83" s="48">
        <f>SUM(Table24[[#This Row],[HIDE IDP]:[HIDE NDP]])</f>
        <v>5790.5</v>
      </c>
      <c r="U83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820</v>
      </c>
      <c r="V83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328</v>
      </c>
      <c r="W83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4642.5</v>
      </c>
      <c r="X83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820</v>
      </c>
      <c r="Y83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328</v>
      </c>
      <c r="Z83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4642.5</v>
      </c>
      <c r="AA83" s="49">
        <f>ROUND($P$8*(Table24[[#This Row],[SHL_TAR_IDPs]]*$AA$3+Table24[[#This Row],[SHL_TAR_HC]]*$AA$4+Table24[[#This Row],[SHL_TAR_NDP]]*$AA$5)/$AA$18,0)</f>
        <v>492</v>
      </c>
      <c r="AB83" s="49">
        <f>ROUND($P$8*(Table24[[#This Row],[SHL_TAR_IDPs]]*$AB$3+Table24[[#This Row],[SHL_TAR_HC]]*$AB$4+Table24[[#This Row],[SHL_TAR_NDP]]*$AB$5)/$AB$18,0)</f>
        <v>492</v>
      </c>
      <c r="AC83" s="49">
        <f>ROUND($Q$8*(Table24[[#This Row],[SHL_TAR_IDPs]]*$AC$3+Table24[[#This Row],[SHL_TAR_HC]]*$AC$4+Table24[[#This Row],[SHL_TAR_NDP]]*$AC$5)/$AC$18,0)</f>
        <v>8</v>
      </c>
      <c r="AD83" s="49">
        <f>ROUND($Q$8*(Table24[[#This Row],[SHL_TAR_IDPs]]*$AD$3+Table24[[#This Row],[SHL_TAR_HC]]*$AD$4+Table24[[#This Row],[SHL_TAR_NDP]]*$AD$5)/$AD$18,0)</f>
        <v>8</v>
      </c>
      <c r="AE83" s="49">
        <f>ROUND($Q$8*(Table24[[#This Row],[SHL_TAR_IDPs]]*$AE$3+Table24[[#This Row],[SHL_TAR_HC]]*$AE$4+Table24[[#This Row],[SHL_TAR_NDP]]*$AE$5)/$AE$18,0)</f>
        <v>58</v>
      </c>
      <c r="AF83" s="49">
        <f>ROUND($Q$8*(Table24[[#This Row],[SHL_TAR_IDPs]]*$AF$3+Table24[[#This Row],[SHL_TAR_HC]]*$AF$4+Table24[[#This Row],[SHL_TAR_NDP]]*$AF$5)/$AF$18,0)</f>
        <v>116</v>
      </c>
      <c r="AG83" s="49">
        <f>ROUND($Q$8*(Table24[[#This Row],[SHL_TAR_IDPs]]*$AG$3+Table24[[#This Row],[SHL_TAR_HC]]*$AG$4+Table24[[#This Row],[SHL_TAR_NDP]]*$AG$5)/$AG$18,0)</f>
        <v>369</v>
      </c>
      <c r="AH83" s="49">
        <f>ROUND($Q$8*(Table24[[#This Row],[SHL_TAR_IDPs]]*$AH$3+Table24[[#This Row],[SHL_TAR_HC]]*$AH$4+Table24[[#This Row],[SHL_TAR_NDP]]*$AH$5)/$AH$18,0)</f>
        <v>20</v>
      </c>
      <c r="AI83" s="49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>33</v>
      </c>
    </row>
    <row r="84" spans="1:35" x14ac:dyDescent="0.55000000000000004">
      <c r="A84" t="s">
        <v>447</v>
      </c>
      <c r="B84" t="s">
        <v>116</v>
      </c>
      <c r="C84" t="s">
        <v>306</v>
      </c>
      <c r="D84" s="58">
        <f>_xlfn.XLOOKUP($B84, 'Prioritization calculation'!D:D, 'Prioritization calculation'!X:X, "")</f>
        <v>3</v>
      </c>
      <c r="E84" s="58">
        <v>3</v>
      </c>
      <c r="F84" s="58">
        <v>3</v>
      </c>
      <c r="G84" s="58" t="s">
        <v>521</v>
      </c>
      <c r="H84" s="58">
        <v>855</v>
      </c>
      <c r="I84" s="58">
        <v>0</v>
      </c>
      <c r="J84" s="58">
        <v>0</v>
      </c>
      <c r="K84" s="58"/>
      <c r="L84" s="58">
        <v>9375</v>
      </c>
      <c r="M84" s="58">
        <v>0</v>
      </c>
      <c r="N84" s="58">
        <v>0</v>
      </c>
      <c r="O84" s="97">
        <f>SUM(Table24[[#This Row],[SHL_PIN_IDPs]:[SHL_PIN_NDP]])</f>
        <v>44152</v>
      </c>
      <c r="P84" s="98">
        <v>742</v>
      </c>
      <c r="Q84" s="98">
        <v>371</v>
      </c>
      <c r="R84" s="98">
        <v>43039</v>
      </c>
      <c r="S84" s="98">
        <f>ROUND(SUM(Table24[[#This Row],[SHL_TAR_IDPs]:[SHL_TAR_NDP]]),0)</f>
        <v>0</v>
      </c>
      <c r="T84" s="48">
        <f>SUM(Table24[[#This Row],[HIDE IDP]:[HIDE NDP]])</f>
        <v>4511.2</v>
      </c>
      <c r="U84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148</v>
      </c>
      <c r="V84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59.2</v>
      </c>
      <c r="W84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4304</v>
      </c>
      <c r="X84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0</v>
      </c>
      <c r="Y84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0</v>
      </c>
      <c r="Z84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84" s="49">
        <f>ROUND($P$8*(Table24[[#This Row],[SHL_TAR_IDPs]]*$AA$3+Table24[[#This Row],[SHL_TAR_HC]]*$AA$4+Table24[[#This Row],[SHL_TAR_NDP]]*$AA$5)/$AA$18,0)</f>
        <v>0</v>
      </c>
      <c r="AB84" s="49">
        <f>ROUND($P$8*(Table24[[#This Row],[SHL_TAR_IDPs]]*$AB$3+Table24[[#This Row],[SHL_TAR_HC]]*$AB$4+Table24[[#This Row],[SHL_TAR_NDP]]*$AB$5)/$AB$18,0)</f>
        <v>0</v>
      </c>
      <c r="AC84" s="49">
        <f>ROUND($Q$8*(Table24[[#This Row],[SHL_TAR_IDPs]]*$AC$3+Table24[[#This Row],[SHL_TAR_HC]]*$AC$4+Table24[[#This Row],[SHL_TAR_NDP]]*$AC$5)/$AC$18,0)</f>
        <v>0</v>
      </c>
      <c r="AD84" s="49">
        <f>ROUND($Q$8*(Table24[[#This Row],[SHL_TAR_IDPs]]*$AD$3+Table24[[#This Row],[SHL_TAR_HC]]*$AD$4+Table24[[#This Row],[SHL_TAR_NDP]]*$AD$5)/$AD$18,0)</f>
        <v>0</v>
      </c>
      <c r="AE84" s="49">
        <f>ROUND($Q$8*(Table24[[#This Row],[SHL_TAR_IDPs]]*$AE$3+Table24[[#This Row],[SHL_TAR_HC]]*$AE$4+Table24[[#This Row],[SHL_TAR_NDP]]*$AE$5)/$AE$18,0)</f>
        <v>0</v>
      </c>
      <c r="AF84" s="49">
        <f>ROUND($Q$8*(Table24[[#This Row],[SHL_TAR_IDPs]]*$AF$3+Table24[[#This Row],[SHL_TAR_HC]]*$AF$4+Table24[[#This Row],[SHL_TAR_NDP]]*$AF$5)/$AF$18,0)</f>
        <v>0</v>
      </c>
      <c r="AG84" s="49">
        <f>ROUND($Q$8*(Table24[[#This Row],[SHL_TAR_IDPs]]*$AG$3+Table24[[#This Row],[SHL_TAR_HC]]*$AG$4+Table24[[#This Row],[SHL_TAR_NDP]]*$AG$5)/$AG$18,0)</f>
        <v>0</v>
      </c>
      <c r="AH84" s="49">
        <f>ROUND($Q$8*(Table24[[#This Row],[SHL_TAR_IDPs]]*$AH$3+Table24[[#This Row],[SHL_TAR_HC]]*$AH$4+Table24[[#This Row],[SHL_TAR_NDP]]*$AH$5)/$AH$18,0)</f>
        <v>0</v>
      </c>
      <c r="AI84" s="49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>0</v>
      </c>
    </row>
    <row r="85" spans="1:35" x14ac:dyDescent="0.55000000000000004">
      <c r="A85" t="s">
        <v>447</v>
      </c>
      <c r="B85" t="s">
        <v>117</v>
      </c>
      <c r="C85" t="s">
        <v>307</v>
      </c>
      <c r="D85" s="58">
        <f>_xlfn.XLOOKUP($B85, 'Prioritization calculation'!D:D, 'Prioritization calculation'!X:X, "")</f>
        <v>1</v>
      </c>
      <c r="E85" s="58">
        <v>4</v>
      </c>
      <c r="F85" s="58">
        <v>3</v>
      </c>
      <c r="G85" s="58" t="s">
        <v>521</v>
      </c>
      <c r="H85" s="58">
        <v>0</v>
      </c>
      <c r="I85" s="58">
        <v>61650</v>
      </c>
      <c r="J85" s="58">
        <v>0</v>
      </c>
      <c r="K85" s="58">
        <v>5670</v>
      </c>
      <c r="L85" s="58">
        <v>2690</v>
      </c>
      <c r="M85" s="58">
        <v>0</v>
      </c>
      <c r="N85" s="58">
        <v>0</v>
      </c>
      <c r="O85" s="97">
        <f>SUM(Table24[[#This Row],[SHL_PIN_IDPs]:[SHL_PIN_NDP]])</f>
        <v>0</v>
      </c>
      <c r="P85" s="98">
        <v>0</v>
      </c>
      <c r="Q85" s="98">
        <v>0</v>
      </c>
      <c r="R85" s="98">
        <v>0</v>
      </c>
      <c r="S85" s="98">
        <f>ROUND(SUM(Table24[[#This Row],[SHL_TAR_IDPs]:[SHL_TAR_NDP]]),0)</f>
        <v>0</v>
      </c>
      <c r="T85" s="48">
        <f>SUM(Table24[[#This Row],[HIDE IDP]:[HIDE NDP]])</f>
        <v>0</v>
      </c>
      <c r="U85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0</v>
      </c>
      <c r="V85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0</v>
      </c>
      <c r="W85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0</v>
      </c>
      <c r="X85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0</v>
      </c>
      <c r="Y85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0</v>
      </c>
      <c r="Z85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85" s="49">
        <f>ROUND($P$8*(Table24[[#This Row],[SHL_TAR_IDPs]]*$AA$3+Table24[[#This Row],[SHL_TAR_HC]]*$AA$4+Table24[[#This Row],[SHL_TAR_NDP]]*$AA$5)/$AA$18,0)</f>
        <v>0</v>
      </c>
      <c r="AB85" s="49">
        <f>ROUND($P$8*(Table24[[#This Row],[SHL_TAR_IDPs]]*$AB$3+Table24[[#This Row],[SHL_TAR_HC]]*$AB$4+Table24[[#This Row],[SHL_TAR_NDP]]*$AB$5)/$AB$18,0)</f>
        <v>0</v>
      </c>
      <c r="AC85" s="49">
        <f>ROUND($Q$8*(Table24[[#This Row],[SHL_TAR_IDPs]]*$AC$3+Table24[[#This Row],[SHL_TAR_HC]]*$AC$4+Table24[[#This Row],[SHL_TAR_NDP]]*$AC$5)/$AC$18,0)</f>
        <v>0</v>
      </c>
      <c r="AD85" s="49">
        <f>ROUND($Q$8*(Table24[[#This Row],[SHL_TAR_IDPs]]*$AD$3+Table24[[#This Row],[SHL_TAR_HC]]*$AD$4+Table24[[#This Row],[SHL_TAR_NDP]]*$AD$5)/$AD$18,0)</f>
        <v>0</v>
      </c>
      <c r="AE85" s="49">
        <f>ROUND($Q$8*(Table24[[#This Row],[SHL_TAR_IDPs]]*$AE$3+Table24[[#This Row],[SHL_TAR_HC]]*$AE$4+Table24[[#This Row],[SHL_TAR_NDP]]*$AE$5)/$AE$18,0)</f>
        <v>0</v>
      </c>
      <c r="AF85" s="49">
        <f>ROUND($Q$8*(Table24[[#This Row],[SHL_TAR_IDPs]]*$AF$3+Table24[[#This Row],[SHL_TAR_HC]]*$AF$4+Table24[[#This Row],[SHL_TAR_NDP]]*$AF$5)/$AF$18,0)</f>
        <v>0</v>
      </c>
      <c r="AG85" s="49">
        <f>ROUND($Q$8*(Table24[[#This Row],[SHL_TAR_IDPs]]*$AG$3+Table24[[#This Row],[SHL_TAR_HC]]*$AG$4+Table24[[#This Row],[SHL_TAR_NDP]]*$AG$5)/$AG$18,0)</f>
        <v>0</v>
      </c>
      <c r="AH85" s="49">
        <f>ROUND($Q$8*(Table24[[#This Row],[SHL_TAR_IDPs]]*$AH$3+Table24[[#This Row],[SHL_TAR_HC]]*$AH$4+Table24[[#This Row],[SHL_TAR_NDP]]*$AH$5)/$AH$18,0)</f>
        <v>0</v>
      </c>
      <c r="AI85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</row>
    <row r="86" spans="1:35" x14ac:dyDescent="0.55000000000000004">
      <c r="A86" t="s">
        <v>311</v>
      </c>
      <c r="B86" t="s">
        <v>118</v>
      </c>
      <c r="C86" t="s">
        <v>308</v>
      </c>
      <c r="D86" s="58">
        <f>_xlfn.XLOOKUP($B86, 'Prioritization calculation'!D:D, 'Prioritization calculation'!X:X, "")</f>
        <v>5</v>
      </c>
      <c r="E86" s="58">
        <v>5</v>
      </c>
      <c r="F86" s="58">
        <v>4</v>
      </c>
      <c r="G86" s="58" t="s">
        <v>572</v>
      </c>
      <c r="H86" s="58">
        <v>4450</v>
      </c>
      <c r="I86" s="58">
        <v>0</v>
      </c>
      <c r="J86" s="58">
        <v>0</v>
      </c>
      <c r="K86" s="58"/>
      <c r="L86" s="58">
        <v>15000</v>
      </c>
      <c r="M86" s="58">
        <v>24606</v>
      </c>
      <c r="N86" s="58">
        <v>0</v>
      </c>
      <c r="O86" s="97">
        <f>SUM(Table24[[#This Row],[SHL_PIN_IDPs]:[SHL_PIN_NDP]])</f>
        <v>112243</v>
      </c>
      <c r="P86" s="98">
        <v>3560</v>
      </c>
      <c r="Q86" s="98">
        <v>1993</v>
      </c>
      <c r="R86" s="98">
        <v>106690</v>
      </c>
      <c r="S86" s="98">
        <f>ROUND(SUM(Table24[[#This Row],[SHL_TAR_IDPs]:[SHL_TAR_NDP]]),0)</f>
        <v>11700</v>
      </c>
      <c r="T86" s="48">
        <f>SUM(Table24[[#This Row],[HIDE IDP]:[HIDE NDP]])</f>
        <v>11700.2</v>
      </c>
      <c r="U86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712</v>
      </c>
      <c r="V86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319.20000000000005</v>
      </c>
      <c r="W86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10669</v>
      </c>
      <c r="X86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712</v>
      </c>
      <c r="Y86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319.20000000000005</v>
      </c>
      <c r="Z86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10669</v>
      </c>
      <c r="AA86" s="49">
        <f>ROUND($P$8*(Table24[[#This Row],[SHL_TAR_IDPs]]*$AA$3+Table24[[#This Row],[SHL_TAR_HC]]*$AA$4+Table24[[#This Row],[SHL_TAR_NDP]]*$AA$5)/$AA$18,0)</f>
        <v>995</v>
      </c>
      <c r="AB86" s="49">
        <f>ROUND($P$8*(Table24[[#This Row],[SHL_TAR_IDPs]]*$AB$3+Table24[[#This Row],[SHL_TAR_HC]]*$AB$4+Table24[[#This Row],[SHL_TAR_NDP]]*$AB$5)/$AB$18,0)</f>
        <v>995</v>
      </c>
      <c r="AC86" s="49">
        <f>ROUND($Q$8*(Table24[[#This Row],[SHL_TAR_IDPs]]*$AC$3+Table24[[#This Row],[SHL_TAR_HC]]*$AC$4+Table24[[#This Row],[SHL_TAR_NDP]]*$AC$5)/$AC$18,0)</f>
        <v>7</v>
      </c>
      <c r="AD86" s="49">
        <f>ROUND($Q$8*(Table24[[#This Row],[SHL_TAR_IDPs]]*$AD$3+Table24[[#This Row],[SHL_TAR_HC]]*$AD$4+Table24[[#This Row],[SHL_TAR_NDP]]*$AD$5)/$AD$18,0)</f>
        <v>7</v>
      </c>
      <c r="AE86" s="49">
        <f>ROUND($Q$8*(Table24[[#This Row],[SHL_TAR_IDPs]]*$AE$3+Table24[[#This Row],[SHL_TAR_HC]]*$AE$4+Table24[[#This Row],[SHL_TAR_NDP]]*$AE$5)/$AE$18,0)</f>
        <v>117</v>
      </c>
      <c r="AF86" s="49">
        <f>ROUND($Q$8*(Table24[[#This Row],[SHL_TAR_IDPs]]*$AF$3+Table24[[#This Row],[SHL_TAR_HC]]*$AF$4+Table24[[#This Row],[SHL_TAR_NDP]]*$AF$5)/$AF$18,0)</f>
        <v>234</v>
      </c>
      <c r="AG86" s="49">
        <f>ROUND($Q$8*(Table24[[#This Row],[SHL_TAR_IDPs]]*$AG$3+Table24[[#This Row],[SHL_TAR_HC]]*$AG$4+Table24[[#This Row],[SHL_TAR_NDP]]*$AG$5)/$AG$18,0)</f>
        <v>787</v>
      </c>
      <c r="AH86" s="49">
        <f>ROUND($Q$8*(Table24[[#This Row],[SHL_TAR_IDPs]]*$AH$3+Table24[[#This Row],[SHL_TAR_HC]]*$AH$4+Table24[[#This Row],[SHL_TAR_NDP]]*$AH$5)/$AH$18,0)</f>
        <v>17</v>
      </c>
      <c r="AI86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</row>
    <row r="87" spans="1:35" x14ac:dyDescent="0.55000000000000004">
      <c r="A87" t="s">
        <v>311</v>
      </c>
      <c r="B87" t="s">
        <v>119</v>
      </c>
      <c r="C87" t="s">
        <v>309</v>
      </c>
      <c r="D87" s="58">
        <f>_xlfn.XLOOKUP($B87, 'Prioritization calculation'!D:D, 'Prioritization calculation'!X:X, "")</f>
        <v>5</v>
      </c>
      <c r="E87" s="58">
        <v>5</v>
      </c>
      <c r="F87" s="58">
        <v>4</v>
      </c>
      <c r="G87" s="58" t="s">
        <v>572</v>
      </c>
      <c r="H87" s="58">
        <v>7380</v>
      </c>
      <c r="I87" s="58">
        <v>54415</v>
      </c>
      <c r="J87" s="58">
        <v>0</v>
      </c>
      <c r="K87" s="58"/>
      <c r="L87" s="58">
        <v>25000</v>
      </c>
      <c r="M87" s="58">
        <v>56774</v>
      </c>
      <c r="N87" s="58">
        <v>0</v>
      </c>
      <c r="O87" s="97">
        <f>SUM(Table24[[#This Row],[SHL_PIN_IDPs]:[SHL_PIN_NDP]])</f>
        <v>265427</v>
      </c>
      <c r="P87" s="98">
        <v>5904</v>
      </c>
      <c r="Q87" s="98">
        <v>4413</v>
      </c>
      <c r="R87" s="98">
        <v>255110</v>
      </c>
      <c r="S87" s="98">
        <f>ROUND(SUM(Table24[[#This Row],[SHL_TAR_IDPs]:[SHL_TAR_NDP]]),0)</f>
        <v>27398</v>
      </c>
      <c r="T87" s="48">
        <f>SUM(Table24[[#This Row],[HIDE IDP]:[HIDE NDP]])</f>
        <v>27398.400000000001</v>
      </c>
      <c r="U87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1181</v>
      </c>
      <c r="V87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706.40000000000009</v>
      </c>
      <c r="W87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25511</v>
      </c>
      <c r="X87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1181</v>
      </c>
      <c r="Y87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706.40000000000009</v>
      </c>
      <c r="Z87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25511</v>
      </c>
      <c r="AA87" s="49">
        <f>ROUND($P$8*(Table24[[#This Row],[SHL_TAR_IDPs]]*$AA$3+Table24[[#This Row],[SHL_TAR_HC]]*$AA$4+Table24[[#This Row],[SHL_TAR_NDP]]*$AA$5)/$AA$18,0)</f>
        <v>2329</v>
      </c>
      <c r="AB87" s="49">
        <f>ROUND($P$8*(Table24[[#This Row],[SHL_TAR_IDPs]]*$AB$3+Table24[[#This Row],[SHL_TAR_HC]]*$AB$4+Table24[[#This Row],[SHL_TAR_NDP]]*$AB$5)/$AB$18,0)</f>
        <v>2329</v>
      </c>
      <c r="AC87" s="49">
        <f>ROUND($Q$8*(Table24[[#This Row],[SHL_TAR_IDPs]]*$AC$3+Table24[[#This Row],[SHL_TAR_HC]]*$AC$4+Table24[[#This Row],[SHL_TAR_NDP]]*$AC$5)/$AC$18,0)</f>
        <v>12</v>
      </c>
      <c r="AD87" s="49">
        <f>ROUND($Q$8*(Table24[[#This Row],[SHL_TAR_IDPs]]*$AD$3+Table24[[#This Row],[SHL_TAR_HC]]*$AD$4+Table24[[#This Row],[SHL_TAR_NDP]]*$AD$5)/$AD$18,0)</f>
        <v>12</v>
      </c>
      <c r="AE87" s="49">
        <f>ROUND($Q$8*(Table24[[#This Row],[SHL_TAR_IDPs]]*$AE$3+Table24[[#This Row],[SHL_TAR_HC]]*$AE$4+Table24[[#This Row],[SHL_TAR_NDP]]*$AE$5)/$AE$18,0)</f>
        <v>274</v>
      </c>
      <c r="AF87" s="49">
        <f>ROUND($Q$8*(Table24[[#This Row],[SHL_TAR_IDPs]]*$AF$3+Table24[[#This Row],[SHL_TAR_HC]]*$AF$4+Table24[[#This Row],[SHL_TAR_NDP]]*$AF$5)/$AF$18,0)</f>
        <v>548</v>
      </c>
      <c r="AG87" s="49">
        <f>ROUND($Q$8*(Table24[[#This Row],[SHL_TAR_IDPs]]*$AG$3+Table24[[#This Row],[SHL_TAR_HC]]*$AG$4+Table24[[#This Row],[SHL_TAR_NDP]]*$AG$5)/$AG$18,0)</f>
        <v>1864</v>
      </c>
      <c r="AH87" s="49">
        <f>ROUND($Q$8*(Table24[[#This Row],[SHL_TAR_IDPs]]*$AH$3+Table24[[#This Row],[SHL_TAR_HC]]*$AH$4+Table24[[#This Row],[SHL_TAR_NDP]]*$AH$5)/$AH$18,0)</f>
        <v>31</v>
      </c>
      <c r="AI87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</row>
    <row r="88" spans="1:35" x14ac:dyDescent="0.55000000000000004">
      <c r="A88" t="s">
        <v>311</v>
      </c>
      <c r="B88" t="s">
        <v>120</v>
      </c>
      <c r="C88" t="s">
        <v>310</v>
      </c>
      <c r="D88" s="58">
        <f>_xlfn.XLOOKUP($B88, 'Prioritization calculation'!D:D, 'Prioritization calculation'!X:X, "")</f>
        <v>5</v>
      </c>
      <c r="E88" s="58">
        <v>5</v>
      </c>
      <c r="F88" s="58">
        <v>5</v>
      </c>
      <c r="G88" s="58" t="s">
        <v>572</v>
      </c>
      <c r="H88" s="58">
        <v>9365</v>
      </c>
      <c r="I88" s="58">
        <v>0</v>
      </c>
      <c r="J88" s="58">
        <v>0</v>
      </c>
      <c r="K88" s="58"/>
      <c r="L88" s="58">
        <v>425</v>
      </c>
      <c r="M88" s="58">
        <v>48634</v>
      </c>
      <c r="N88" s="58">
        <v>0</v>
      </c>
      <c r="O88" s="97">
        <f>SUM(Table24[[#This Row],[SHL_PIN_IDPs]:[SHL_PIN_NDP]])</f>
        <v>221515</v>
      </c>
      <c r="P88" s="98">
        <v>7492</v>
      </c>
      <c r="Q88" s="98">
        <v>2095</v>
      </c>
      <c r="R88" s="98">
        <v>211928</v>
      </c>
      <c r="S88" s="98">
        <f>ROUND(SUM(Table24[[#This Row],[SHL_TAR_IDPs]:[SHL_TAR_NDP]]),0)</f>
        <v>23026</v>
      </c>
      <c r="T88" s="48">
        <f>SUM(Table24[[#This Row],[HIDE IDP]:[HIDE NDP]])</f>
        <v>23026.2</v>
      </c>
      <c r="U88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1498</v>
      </c>
      <c r="V88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335.20000000000005</v>
      </c>
      <c r="W88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21193</v>
      </c>
      <c r="X88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1498</v>
      </c>
      <c r="Y88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335.20000000000005</v>
      </c>
      <c r="Z88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21193</v>
      </c>
      <c r="AA88" s="49">
        <f>ROUND($P$8*(Table24[[#This Row],[SHL_TAR_IDPs]]*$AA$3+Table24[[#This Row],[SHL_TAR_HC]]*$AA$4+Table24[[#This Row],[SHL_TAR_NDP]]*$AA$5)/$AA$18,0)</f>
        <v>1957</v>
      </c>
      <c r="AB88" s="49">
        <f>ROUND($P$8*(Table24[[#This Row],[SHL_TAR_IDPs]]*$AB$3+Table24[[#This Row],[SHL_TAR_HC]]*$AB$4+Table24[[#This Row],[SHL_TAR_NDP]]*$AB$5)/$AB$18,0)</f>
        <v>1957</v>
      </c>
      <c r="AC88" s="49">
        <f>ROUND($Q$8*(Table24[[#This Row],[SHL_TAR_IDPs]]*$AC$3+Table24[[#This Row],[SHL_TAR_HC]]*$AC$4+Table24[[#This Row],[SHL_TAR_NDP]]*$AC$5)/$AC$18,0)</f>
        <v>15</v>
      </c>
      <c r="AD88" s="49">
        <f>ROUND($Q$8*(Table24[[#This Row],[SHL_TAR_IDPs]]*$AD$3+Table24[[#This Row],[SHL_TAR_HC]]*$AD$4+Table24[[#This Row],[SHL_TAR_NDP]]*$AD$5)/$AD$18,0)</f>
        <v>15</v>
      </c>
      <c r="AE88" s="49">
        <f>ROUND($Q$8*(Table24[[#This Row],[SHL_TAR_IDPs]]*$AE$3+Table24[[#This Row],[SHL_TAR_HC]]*$AE$4+Table24[[#This Row],[SHL_TAR_NDP]]*$AE$5)/$AE$18,0)</f>
        <v>230</v>
      </c>
      <c r="AF88" s="49">
        <f>ROUND($Q$8*(Table24[[#This Row],[SHL_TAR_IDPs]]*$AF$3+Table24[[#This Row],[SHL_TAR_HC]]*$AF$4+Table24[[#This Row],[SHL_TAR_NDP]]*$AF$5)/$AF$18,0)</f>
        <v>461</v>
      </c>
      <c r="AG88" s="49">
        <f>ROUND($Q$8*(Table24[[#This Row],[SHL_TAR_IDPs]]*$AG$3+Table24[[#This Row],[SHL_TAR_HC]]*$AG$4+Table24[[#This Row],[SHL_TAR_NDP]]*$AG$5)/$AG$18,0)</f>
        <v>1549</v>
      </c>
      <c r="AH88" s="49">
        <f>ROUND($Q$8*(Table24[[#This Row],[SHL_TAR_IDPs]]*$AH$3+Table24[[#This Row],[SHL_TAR_HC]]*$AH$4+Table24[[#This Row],[SHL_TAR_NDP]]*$AH$5)/$AH$18,0)</f>
        <v>33</v>
      </c>
      <c r="AI88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</row>
    <row r="89" spans="1:35" x14ac:dyDescent="0.55000000000000004">
      <c r="A89" t="s">
        <v>311</v>
      </c>
      <c r="B89" t="s">
        <v>121</v>
      </c>
      <c r="C89" t="s">
        <v>311</v>
      </c>
      <c r="D89" s="58">
        <f>_xlfn.XLOOKUP($B89, 'Prioritization calculation'!D:D, 'Prioritization calculation'!X:X, "")</f>
        <v>5</v>
      </c>
      <c r="E89" s="58">
        <v>5</v>
      </c>
      <c r="F89" s="58">
        <v>5</v>
      </c>
      <c r="G89" s="58" t="s">
        <v>572</v>
      </c>
      <c r="H89" s="58">
        <v>3205</v>
      </c>
      <c r="I89" s="58">
        <v>2720</v>
      </c>
      <c r="J89" s="58">
        <v>0</v>
      </c>
      <c r="K89" s="58"/>
      <c r="L89" s="58">
        <v>1820</v>
      </c>
      <c r="M89" s="58">
        <v>25920</v>
      </c>
      <c r="N89" s="58">
        <v>0</v>
      </c>
      <c r="O89" s="97">
        <f>SUM(Table24[[#This Row],[SHL_PIN_IDPs]:[SHL_PIN_NDP]])</f>
        <v>120472</v>
      </c>
      <c r="P89" s="98">
        <v>2564</v>
      </c>
      <c r="Q89" s="98">
        <v>4152</v>
      </c>
      <c r="R89" s="98">
        <v>113756</v>
      </c>
      <c r="S89" s="98">
        <f>ROUND(SUM(Table24[[#This Row],[SHL_TAR_IDPs]:[SHL_TAR_NDP]]),0)</f>
        <v>12553</v>
      </c>
      <c r="T89" s="48">
        <f>SUM(Table24[[#This Row],[HIDE IDP]:[HIDE NDP]])</f>
        <v>12552.5</v>
      </c>
      <c r="U89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513</v>
      </c>
      <c r="V89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664</v>
      </c>
      <c r="W89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11375.5</v>
      </c>
      <c r="X89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513</v>
      </c>
      <c r="Y89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664</v>
      </c>
      <c r="Z89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11375.5</v>
      </c>
      <c r="AA89" s="49">
        <f>ROUND($P$8*(Table24[[#This Row],[SHL_TAR_IDPs]]*$AA$3+Table24[[#This Row],[SHL_TAR_HC]]*$AA$4+Table24[[#This Row],[SHL_TAR_NDP]]*$AA$5)/$AA$18,0)</f>
        <v>1067</v>
      </c>
      <c r="AB89" s="49">
        <f>ROUND($P$8*(Table24[[#This Row],[SHL_TAR_IDPs]]*$AB$3+Table24[[#This Row],[SHL_TAR_HC]]*$AB$4+Table24[[#This Row],[SHL_TAR_NDP]]*$AB$5)/$AB$18,0)</f>
        <v>1067</v>
      </c>
      <c r="AC89" s="49">
        <f>ROUND($Q$8*(Table24[[#This Row],[SHL_TAR_IDPs]]*$AC$3+Table24[[#This Row],[SHL_TAR_HC]]*$AC$4+Table24[[#This Row],[SHL_TAR_NDP]]*$AC$5)/$AC$18,0)</f>
        <v>5</v>
      </c>
      <c r="AD89" s="49">
        <f>ROUND($Q$8*(Table24[[#This Row],[SHL_TAR_IDPs]]*$AD$3+Table24[[#This Row],[SHL_TAR_HC]]*$AD$4+Table24[[#This Row],[SHL_TAR_NDP]]*$AD$5)/$AD$18,0)</f>
        <v>5</v>
      </c>
      <c r="AE89" s="49">
        <f>ROUND($Q$8*(Table24[[#This Row],[SHL_TAR_IDPs]]*$AE$3+Table24[[#This Row],[SHL_TAR_HC]]*$AE$4+Table24[[#This Row],[SHL_TAR_NDP]]*$AE$5)/$AE$18,0)</f>
        <v>126</v>
      </c>
      <c r="AF89" s="49">
        <f>ROUND($Q$8*(Table24[[#This Row],[SHL_TAR_IDPs]]*$AF$3+Table24[[#This Row],[SHL_TAR_HC]]*$AF$4+Table24[[#This Row],[SHL_TAR_NDP]]*$AF$5)/$AF$18,0)</f>
        <v>251</v>
      </c>
      <c r="AG89" s="49">
        <f>ROUND($Q$8*(Table24[[#This Row],[SHL_TAR_IDPs]]*$AG$3+Table24[[#This Row],[SHL_TAR_HC]]*$AG$4+Table24[[#This Row],[SHL_TAR_NDP]]*$AG$5)/$AG$18,0)</f>
        <v>852</v>
      </c>
      <c r="AH89" s="49">
        <f>ROUND($Q$8*(Table24[[#This Row],[SHL_TAR_IDPs]]*$AH$3+Table24[[#This Row],[SHL_TAR_HC]]*$AH$4+Table24[[#This Row],[SHL_TAR_NDP]]*$AH$5)/$AH$18,0)</f>
        <v>17</v>
      </c>
      <c r="AI89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</row>
    <row r="90" spans="1:35" x14ac:dyDescent="0.55000000000000004">
      <c r="A90" t="s">
        <v>311</v>
      </c>
      <c r="B90" t="s">
        <v>122</v>
      </c>
      <c r="C90" t="s">
        <v>312</v>
      </c>
      <c r="D90" s="58">
        <f>_xlfn.XLOOKUP($B90, 'Prioritization calculation'!D:D, 'Prioritization calculation'!X:X, "")</f>
        <v>5</v>
      </c>
      <c r="E90" s="58">
        <v>5</v>
      </c>
      <c r="F90" s="58">
        <v>4</v>
      </c>
      <c r="G90" s="58" t="s">
        <v>572</v>
      </c>
      <c r="H90" s="58">
        <v>9250</v>
      </c>
      <c r="I90" s="58">
        <v>6740</v>
      </c>
      <c r="J90" s="58">
        <v>0</v>
      </c>
      <c r="K90" s="58"/>
      <c r="L90" s="58">
        <v>18420</v>
      </c>
      <c r="M90" s="58">
        <v>39009</v>
      </c>
      <c r="N90" s="58">
        <v>0</v>
      </c>
      <c r="O90" s="97">
        <f>SUM(Table24[[#This Row],[SHL_PIN_IDPs]:[SHL_PIN_NDP]])</f>
        <v>172416</v>
      </c>
      <c r="P90" s="98">
        <v>7400</v>
      </c>
      <c r="Q90" s="98">
        <v>4556</v>
      </c>
      <c r="R90" s="98">
        <v>160460</v>
      </c>
      <c r="S90" s="98">
        <f>ROUND(SUM(Table24[[#This Row],[SHL_TAR_IDPs]:[SHL_TAR_NDP]]),0)</f>
        <v>18255</v>
      </c>
      <c r="T90" s="48">
        <f>SUM(Table24[[#This Row],[HIDE IDP]:[HIDE NDP]])</f>
        <v>18254.8</v>
      </c>
      <c r="U90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1480</v>
      </c>
      <c r="V90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728.80000000000007</v>
      </c>
      <c r="W90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16046</v>
      </c>
      <c r="X90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1480</v>
      </c>
      <c r="Y90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728.80000000000007</v>
      </c>
      <c r="Z90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16046</v>
      </c>
      <c r="AA90" s="49">
        <f>ROUND($P$8*(Table24[[#This Row],[SHL_TAR_IDPs]]*$AA$3+Table24[[#This Row],[SHL_TAR_HC]]*$AA$4+Table24[[#This Row],[SHL_TAR_NDP]]*$AA$5)/$AA$18,0)</f>
        <v>1552</v>
      </c>
      <c r="AB90" s="49">
        <f>ROUND($P$8*(Table24[[#This Row],[SHL_TAR_IDPs]]*$AB$3+Table24[[#This Row],[SHL_TAR_HC]]*$AB$4+Table24[[#This Row],[SHL_TAR_NDP]]*$AB$5)/$AB$18,0)</f>
        <v>1552</v>
      </c>
      <c r="AC90" s="49">
        <f>ROUND($Q$8*(Table24[[#This Row],[SHL_TAR_IDPs]]*$AC$3+Table24[[#This Row],[SHL_TAR_HC]]*$AC$4+Table24[[#This Row],[SHL_TAR_NDP]]*$AC$5)/$AC$18,0)</f>
        <v>15</v>
      </c>
      <c r="AD90" s="49">
        <f>ROUND($Q$8*(Table24[[#This Row],[SHL_TAR_IDPs]]*$AD$3+Table24[[#This Row],[SHL_TAR_HC]]*$AD$4+Table24[[#This Row],[SHL_TAR_NDP]]*$AD$5)/$AD$18,0)</f>
        <v>15</v>
      </c>
      <c r="AE90" s="49">
        <f>ROUND($Q$8*(Table24[[#This Row],[SHL_TAR_IDPs]]*$AE$3+Table24[[#This Row],[SHL_TAR_HC]]*$AE$4+Table24[[#This Row],[SHL_TAR_NDP]]*$AE$5)/$AE$18,0)</f>
        <v>183</v>
      </c>
      <c r="AF90" s="49">
        <f>ROUND($Q$8*(Table24[[#This Row],[SHL_TAR_IDPs]]*$AF$3+Table24[[#This Row],[SHL_TAR_HC]]*$AF$4+Table24[[#This Row],[SHL_TAR_NDP]]*$AF$5)/$AF$18,0)</f>
        <v>365</v>
      </c>
      <c r="AG90" s="49">
        <f>ROUND($Q$8*(Table24[[#This Row],[SHL_TAR_IDPs]]*$AG$3+Table24[[#This Row],[SHL_TAR_HC]]*$AG$4+Table24[[#This Row],[SHL_TAR_NDP]]*$AG$5)/$AG$18,0)</f>
        <v>1211</v>
      </c>
      <c r="AH90" s="49">
        <f>ROUND($Q$8*(Table24[[#This Row],[SHL_TAR_IDPs]]*$AH$3+Table24[[#This Row],[SHL_TAR_HC]]*$AH$4+Table24[[#This Row],[SHL_TAR_NDP]]*$AH$5)/$AH$18,0)</f>
        <v>37</v>
      </c>
      <c r="AI90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</row>
    <row r="91" spans="1:35" x14ac:dyDescent="0.55000000000000004">
      <c r="A91" t="s">
        <v>311</v>
      </c>
      <c r="B91" t="s">
        <v>123</v>
      </c>
      <c r="C91" t="s">
        <v>313</v>
      </c>
      <c r="D91" s="58">
        <f>_xlfn.XLOOKUP($B91, 'Prioritization calculation'!D:D, 'Prioritization calculation'!X:X, "")</f>
        <v>5</v>
      </c>
      <c r="E91" s="58">
        <v>5</v>
      </c>
      <c r="F91" s="58">
        <v>4</v>
      </c>
      <c r="G91" s="58" t="s">
        <v>573</v>
      </c>
      <c r="H91" s="58">
        <v>4550</v>
      </c>
      <c r="I91" s="58">
        <v>18565</v>
      </c>
      <c r="J91" s="58">
        <v>250</v>
      </c>
      <c r="K91" s="58"/>
      <c r="L91" s="58">
        <v>1910</v>
      </c>
      <c r="M91" s="58">
        <v>71852</v>
      </c>
      <c r="N91" s="58">
        <v>0</v>
      </c>
      <c r="O91" s="97">
        <f>SUM(Table24[[#This Row],[SHL_PIN_IDPs]:[SHL_PIN_NDP]])</f>
        <v>299844</v>
      </c>
      <c r="P91" s="98">
        <v>2536</v>
      </c>
      <c r="Q91" s="98">
        <v>2237</v>
      </c>
      <c r="R91" s="98">
        <v>295071</v>
      </c>
      <c r="S91" s="98">
        <f>ROUND(SUM(Table24[[#This Row],[SHL_TAR_IDPs]:[SHL_TAR_NDP]]),0)</f>
        <v>30372</v>
      </c>
      <c r="T91" s="48">
        <f>SUM(Table24[[#This Row],[HIDE IDP]:[HIDE NDP]])</f>
        <v>30371.599999999999</v>
      </c>
      <c r="U91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507</v>
      </c>
      <c r="V91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357.6</v>
      </c>
      <c r="W91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29507</v>
      </c>
      <c r="X91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507</v>
      </c>
      <c r="Y91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357.6</v>
      </c>
      <c r="Z91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29507</v>
      </c>
      <c r="AA91" s="49">
        <f>ROUND($P$8*(Table24[[#This Row],[SHL_TAR_IDPs]]*$AA$3+Table24[[#This Row],[SHL_TAR_HC]]*$AA$4+Table24[[#This Row],[SHL_TAR_NDP]]*$AA$5)/$AA$18,0)</f>
        <v>2582</v>
      </c>
      <c r="AB91" s="49">
        <f>ROUND($P$8*(Table24[[#This Row],[SHL_TAR_IDPs]]*$AB$3+Table24[[#This Row],[SHL_TAR_HC]]*$AB$4+Table24[[#This Row],[SHL_TAR_NDP]]*$AB$5)/$AB$18,0)</f>
        <v>2582</v>
      </c>
      <c r="AC91" s="49">
        <f>ROUND($Q$8*(Table24[[#This Row],[SHL_TAR_IDPs]]*$AC$3+Table24[[#This Row],[SHL_TAR_HC]]*$AC$4+Table24[[#This Row],[SHL_TAR_NDP]]*$AC$5)/$AC$18,0)</f>
        <v>5</v>
      </c>
      <c r="AD91" s="49">
        <f>ROUND($Q$8*(Table24[[#This Row],[SHL_TAR_IDPs]]*$AD$3+Table24[[#This Row],[SHL_TAR_HC]]*$AD$4+Table24[[#This Row],[SHL_TAR_NDP]]*$AD$5)/$AD$18,0)</f>
        <v>5</v>
      </c>
      <c r="AE91" s="49">
        <f>ROUND($Q$8*(Table24[[#This Row],[SHL_TAR_IDPs]]*$AE$3+Table24[[#This Row],[SHL_TAR_HC]]*$AE$4+Table24[[#This Row],[SHL_TAR_NDP]]*$AE$5)/$AE$18,0)</f>
        <v>304</v>
      </c>
      <c r="AF91" s="49">
        <f>ROUND($Q$8*(Table24[[#This Row],[SHL_TAR_IDPs]]*$AF$3+Table24[[#This Row],[SHL_TAR_HC]]*$AF$4+Table24[[#This Row],[SHL_TAR_NDP]]*$AF$5)/$AF$18,0)</f>
        <v>607</v>
      </c>
      <c r="AG91" s="49">
        <f>ROUND($Q$8*(Table24[[#This Row],[SHL_TAR_IDPs]]*$AG$3+Table24[[#This Row],[SHL_TAR_HC]]*$AG$4+Table24[[#This Row],[SHL_TAR_NDP]]*$AG$5)/$AG$18,0)</f>
        <v>2102</v>
      </c>
      <c r="AH91" s="49">
        <f>ROUND($Q$8*(Table24[[#This Row],[SHL_TAR_IDPs]]*$AH$3+Table24[[#This Row],[SHL_TAR_HC]]*$AH$4+Table24[[#This Row],[SHL_TAR_NDP]]*$AH$5)/$AH$18,0)</f>
        <v>14</v>
      </c>
      <c r="AI91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</row>
    <row r="92" spans="1:35" x14ac:dyDescent="0.55000000000000004">
      <c r="A92" t="s">
        <v>311</v>
      </c>
      <c r="B92" t="s">
        <v>124</v>
      </c>
      <c r="C92" t="s">
        <v>314</v>
      </c>
      <c r="D92" s="58">
        <f>_xlfn.XLOOKUP($B92, 'Prioritization calculation'!D:D, 'Prioritization calculation'!X:X, "")</f>
        <v>5</v>
      </c>
      <c r="E92" s="58">
        <v>5</v>
      </c>
      <c r="F92" s="58">
        <v>5</v>
      </c>
      <c r="G92" s="58" t="s">
        <v>572</v>
      </c>
      <c r="H92" s="58">
        <v>3980</v>
      </c>
      <c r="I92" s="58">
        <v>1500</v>
      </c>
      <c r="J92" s="58">
        <v>0</v>
      </c>
      <c r="K92" s="58"/>
      <c r="L92" s="58">
        <v>40000</v>
      </c>
      <c r="M92" s="58">
        <v>19581</v>
      </c>
      <c r="N92" s="58">
        <v>0</v>
      </c>
      <c r="O92" s="97">
        <f>SUM(Table24[[#This Row],[SHL_PIN_IDPs]:[SHL_PIN_NDP]])</f>
        <v>88154</v>
      </c>
      <c r="P92" s="98">
        <v>3184</v>
      </c>
      <c r="Q92" s="98">
        <v>1987</v>
      </c>
      <c r="R92" s="98">
        <v>82983</v>
      </c>
      <c r="S92" s="98">
        <f>ROUND(SUM(Table24[[#This Row],[SHL_TAR_IDPs]:[SHL_TAR_NDP]]),0)</f>
        <v>9253</v>
      </c>
      <c r="T92" s="48">
        <f>SUM(Table24[[#This Row],[HIDE IDP]:[HIDE NDP]])</f>
        <v>9253.1</v>
      </c>
      <c r="U92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637</v>
      </c>
      <c r="V92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317.60000000000002</v>
      </c>
      <c r="W92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8298.5</v>
      </c>
      <c r="X92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637</v>
      </c>
      <c r="Y92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317.60000000000002</v>
      </c>
      <c r="Z92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8298.5</v>
      </c>
      <c r="AA92" s="49">
        <f>ROUND($P$8*(Table24[[#This Row],[SHL_TAR_IDPs]]*$AA$3+Table24[[#This Row],[SHL_TAR_HC]]*$AA$4+Table24[[#This Row],[SHL_TAR_NDP]]*$AA$5)/$AA$18,0)</f>
        <v>787</v>
      </c>
      <c r="AB92" s="49">
        <f>ROUND($P$8*(Table24[[#This Row],[SHL_TAR_IDPs]]*$AB$3+Table24[[#This Row],[SHL_TAR_HC]]*$AB$4+Table24[[#This Row],[SHL_TAR_NDP]]*$AB$5)/$AB$18,0)</f>
        <v>787</v>
      </c>
      <c r="AC92" s="49">
        <f>ROUND($Q$8*(Table24[[#This Row],[SHL_TAR_IDPs]]*$AC$3+Table24[[#This Row],[SHL_TAR_HC]]*$AC$4+Table24[[#This Row],[SHL_TAR_NDP]]*$AC$5)/$AC$18,0)</f>
        <v>6</v>
      </c>
      <c r="AD92" s="49">
        <f>ROUND($Q$8*(Table24[[#This Row],[SHL_TAR_IDPs]]*$AD$3+Table24[[#This Row],[SHL_TAR_HC]]*$AD$4+Table24[[#This Row],[SHL_TAR_NDP]]*$AD$5)/$AD$18,0)</f>
        <v>6</v>
      </c>
      <c r="AE92" s="49">
        <f>ROUND($Q$8*(Table24[[#This Row],[SHL_TAR_IDPs]]*$AE$3+Table24[[#This Row],[SHL_TAR_HC]]*$AE$4+Table24[[#This Row],[SHL_TAR_NDP]]*$AE$5)/$AE$18,0)</f>
        <v>93</v>
      </c>
      <c r="AF92" s="49">
        <f>ROUND($Q$8*(Table24[[#This Row],[SHL_TAR_IDPs]]*$AF$3+Table24[[#This Row],[SHL_TAR_HC]]*$AF$4+Table24[[#This Row],[SHL_TAR_NDP]]*$AF$5)/$AF$18,0)</f>
        <v>185</v>
      </c>
      <c r="AG92" s="49">
        <f>ROUND($Q$8*(Table24[[#This Row],[SHL_TAR_IDPs]]*$AG$3+Table24[[#This Row],[SHL_TAR_HC]]*$AG$4+Table24[[#This Row],[SHL_TAR_NDP]]*$AG$5)/$AG$18,0)</f>
        <v>619</v>
      </c>
      <c r="AH92" s="49">
        <f>ROUND($Q$8*(Table24[[#This Row],[SHL_TAR_IDPs]]*$AH$3+Table24[[#This Row],[SHL_TAR_HC]]*$AH$4+Table24[[#This Row],[SHL_TAR_NDP]]*$AH$5)/$AH$18,0)</f>
        <v>16</v>
      </c>
      <c r="AI92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</row>
    <row r="93" spans="1:35" x14ac:dyDescent="0.55000000000000004">
      <c r="A93" t="s">
        <v>448</v>
      </c>
      <c r="B93" t="s">
        <v>125</v>
      </c>
      <c r="C93" t="s">
        <v>315</v>
      </c>
      <c r="D93" s="58">
        <f>_xlfn.XLOOKUP($B93, 'Prioritization calculation'!D:D, 'Prioritization calculation'!X:X, "")</f>
        <v>4</v>
      </c>
      <c r="E93" s="58">
        <v>5</v>
      </c>
      <c r="F93" s="58">
        <v>4</v>
      </c>
      <c r="G93" s="58" t="s">
        <v>573</v>
      </c>
      <c r="H93" s="58">
        <v>88755</v>
      </c>
      <c r="I93" s="58">
        <v>135840</v>
      </c>
      <c r="J93" s="58">
        <v>87030</v>
      </c>
      <c r="K93" s="58">
        <v>5000</v>
      </c>
      <c r="L93" s="58">
        <v>28060</v>
      </c>
      <c r="M93" s="58">
        <v>410349</v>
      </c>
      <c r="N93" s="58">
        <v>267951.14178255433</v>
      </c>
      <c r="O93" s="97">
        <f>SUM(Table24[[#This Row],[SHL_PIN_IDPs]:[SHL_PIN_NDP]])</f>
        <v>535990</v>
      </c>
      <c r="P93" s="98">
        <v>444599</v>
      </c>
      <c r="Q93" s="98">
        <v>91391</v>
      </c>
      <c r="R93" s="98">
        <v>0</v>
      </c>
      <c r="S93" s="98">
        <f>ROUND(SUM(Table24[[#This Row],[SHL_TAR_IDPs]:[SHL_TAR_NDP]]),0)</f>
        <v>107085</v>
      </c>
      <c r="T93" s="100">
        <f>SUM(Table24[[#This Row],[HIDE IDP]:[HIDE NDP]])</f>
        <v>207084.79999999999</v>
      </c>
      <c r="U93" s="100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177840</v>
      </c>
      <c r="V93" s="100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29244.800000000003</v>
      </c>
      <c r="W93" s="100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0</v>
      </c>
      <c r="X93" s="9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IDP]],0)-100000</f>
        <v>77840</v>
      </c>
      <c r="Y93" s="9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29244.800000000003</v>
      </c>
      <c r="Z93" s="9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93" s="49">
        <f>ROUND($P$8*(Table24[[#This Row],[SHL_TAR_IDPs]]*$AA$3+Table24[[#This Row],[SHL_TAR_HC]]*$AA$4+Table24[[#This Row],[SHL_TAR_NDP]]*$AA$5)/$AA$18,0)</f>
        <v>9102</v>
      </c>
      <c r="AB93" s="49">
        <f>ROUND($P$8*(Table24[[#This Row],[SHL_TAR_IDPs]]*$AB$3+Table24[[#This Row],[SHL_TAR_HC]]*$AB$4+Table24[[#This Row],[SHL_TAR_NDP]]*$AB$5)/$AB$18,0)</f>
        <v>9102</v>
      </c>
      <c r="AC93" s="49">
        <f>ROUND($Q$8*(Table24[[#This Row],[SHL_TAR_IDPs]]*$AC$3+Table24[[#This Row],[SHL_TAR_HC]]*$AC$4+Table24[[#This Row],[SHL_TAR_NDP]]*$AC$5)/$AC$18,0)</f>
        <v>778</v>
      </c>
      <c r="AD93" s="49">
        <f>ROUND($Q$8*(Table24[[#This Row],[SHL_TAR_IDPs]]*$AD$3+Table24[[#This Row],[SHL_TAR_HC]]*$AD$4+Table24[[#This Row],[SHL_TAR_NDP]]*$AD$5)/$AD$18,0)</f>
        <v>778</v>
      </c>
      <c r="AE93" s="49">
        <f>ROUND($Q$8*(Table24[[#This Row],[SHL_TAR_IDPs]]*$AE$3+Table24[[#This Row],[SHL_TAR_HC]]*$AE$4+Table24[[#This Row],[SHL_TAR_NDP]]*$AE$5)/$AE$18,0)</f>
        <v>1071</v>
      </c>
      <c r="AF93" s="49">
        <f>ROUND($Q$8*(Table24[[#This Row],[SHL_TAR_IDPs]]*$AF$3+Table24[[#This Row],[SHL_TAR_HC]]*$AF$4+Table24[[#This Row],[SHL_TAR_NDP]]*$AF$5)/$AF$18,0)</f>
        <v>2142</v>
      </c>
      <c r="AG93" s="49">
        <f>ROUND($Q$8*(Table24[[#This Row],[SHL_TAR_IDPs]]*$AG$3+Table24[[#This Row],[SHL_TAR_HC]]*$AG$4+Table24[[#This Row],[SHL_TAR_NDP]]*$AG$5)/$AG$18,0)</f>
        <v>4090</v>
      </c>
      <c r="AH93" s="49">
        <f>ROUND($Q$8*(Table24[[#This Row],[SHL_TAR_IDPs]]*$AH$3+Table24[[#This Row],[SHL_TAR_HC]]*$AH$4+Table24[[#This Row],[SHL_TAR_NDP]]*$AH$5)/$AH$18,0)</f>
        <v>1849</v>
      </c>
      <c r="AI93" s="49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>925</v>
      </c>
    </row>
    <row r="94" spans="1:35" x14ac:dyDescent="0.55000000000000004">
      <c r="A94" t="s">
        <v>448</v>
      </c>
      <c r="B94" t="s">
        <v>126</v>
      </c>
      <c r="C94" t="s">
        <v>316</v>
      </c>
      <c r="D94" s="58">
        <f>_xlfn.XLOOKUP($B94, 'Prioritization calculation'!D:D, 'Prioritization calculation'!X:X, "")</f>
        <v>3</v>
      </c>
      <c r="E94" s="58">
        <v>2</v>
      </c>
      <c r="F94" s="58">
        <v>3</v>
      </c>
      <c r="G94" s="58" t="s">
        <v>573</v>
      </c>
      <c r="H94" s="58">
        <v>1750</v>
      </c>
      <c r="I94" s="58">
        <v>0</v>
      </c>
      <c r="J94" s="58">
        <v>0</v>
      </c>
      <c r="K94" s="58"/>
      <c r="L94" s="58">
        <v>9000</v>
      </c>
      <c r="M94" s="58">
        <v>754</v>
      </c>
      <c r="N94" s="58">
        <v>0</v>
      </c>
      <c r="O94" s="97">
        <f>SUM(Table24[[#This Row],[SHL_PIN_IDPs]:[SHL_PIN_NDP]])</f>
        <v>0</v>
      </c>
      <c r="P94" s="98">
        <v>0</v>
      </c>
      <c r="Q94" s="98">
        <v>0</v>
      </c>
      <c r="R94" s="98">
        <v>0</v>
      </c>
      <c r="S94" s="98">
        <f>ROUND(SUM(Table24[[#This Row],[SHL_TAR_IDPs]:[SHL_TAR_NDP]]),0)</f>
        <v>0</v>
      </c>
      <c r="T94" s="48">
        <f>SUM(Table24[[#This Row],[HIDE IDP]:[HIDE NDP]])</f>
        <v>0</v>
      </c>
      <c r="U94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0</v>
      </c>
      <c r="V94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0</v>
      </c>
      <c r="W94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0</v>
      </c>
      <c r="X94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0</v>
      </c>
      <c r="Y94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0</v>
      </c>
      <c r="Z94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94" s="49">
        <f>ROUND($P$8*(Table24[[#This Row],[SHL_TAR_IDPs]]*$AA$3+Table24[[#This Row],[SHL_TAR_HC]]*$AA$4+Table24[[#This Row],[SHL_TAR_NDP]]*$AA$5)/$AA$18,0)</f>
        <v>0</v>
      </c>
      <c r="AB94" s="49">
        <f>ROUND($P$8*(Table24[[#This Row],[SHL_TAR_IDPs]]*$AB$3+Table24[[#This Row],[SHL_TAR_HC]]*$AB$4+Table24[[#This Row],[SHL_TAR_NDP]]*$AB$5)/$AB$18,0)</f>
        <v>0</v>
      </c>
      <c r="AC94" s="49">
        <f>ROUND($Q$8*(Table24[[#This Row],[SHL_TAR_IDPs]]*$AC$3+Table24[[#This Row],[SHL_TAR_HC]]*$AC$4+Table24[[#This Row],[SHL_TAR_NDP]]*$AC$5)/$AC$18,0)</f>
        <v>0</v>
      </c>
      <c r="AD94" s="49">
        <f>ROUND($Q$8*(Table24[[#This Row],[SHL_TAR_IDPs]]*$AD$3+Table24[[#This Row],[SHL_TAR_HC]]*$AD$4+Table24[[#This Row],[SHL_TAR_NDP]]*$AD$5)/$AD$18,0)</f>
        <v>0</v>
      </c>
      <c r="AE94" s="49">
        <f>ROUND($Q$8*(Table24[[#This Row],[SHL_TAR_IDPs]]*$AE$3+Table24[[#This Row],[SHL_TAR_HC]]*$AE$4+Table24[[#This Row],[SHL_TAR_NDP]]*$AE$5)/$AE$18,0)</f>
        <v>0</v>
      </c>
      <c r="AF94" s="49">
        <f>ROUND($Q$8*(Table24[[#This Row],[SHL_TAR_IDPs]]*$AF$3+Table24[[#This Row],[SHL_TAR_HC]]*$AF$4+Table24[[#This Row],[SHL_TAR_NDP]]*$AF$5)/$AF$18,0)</f>
        <v>0</v>
      </c>
      <c r="AG94" s="49">
        <f>ROUND($Q$8*(Table24[[#This Row],[SHL_TAR_IDPs]]*$AG$3+Table24[[#This Row],[SHL_TAR_HC]]*$AG$4+Table24[[#This Row],[SHL_TAR_NDP]]*$AG$5)/$AG$18,0)</f>
        <v>0</v>
      </c>
      <c r="AH94" s="49">
        <f>ROUND($Q$8*(Table24[[#This Row],[SHL_TAR_IDPs]]*$AH$3+Table24[[#This Row],[SHL_TAR_HC]]*$AH$4+Table24[[#This Row],[SHL_TAR_NDP]]*$AH$5)/$AH$18,0)</f>
        <v>0</v>
      </c>
      <c r="AI94" s="49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>0</v>
      </c>
    </row>
    <row r="95" spans="1:35" x14ac:dyDescent="0.55000000000000004">
      <c r="A95" t="s">
        <v>448</v>
      </c>
      <c r="B95" t="s">
        <v>127</v>
      </c>
      <c r="C95" t="s">
        <v>317</v>
      </c>
      <c r="D95" s="58">
        <f>_xlfn.XLOOKUP($B95, 'Prioritization calculation'!D:D, 'Prioritization calculation'!X:X, "")</f>
        <v>2</v>
      </c>
      <c r="E95" s="58">
        <v>4</v>
      </c>
      <c r="F95" s="58">
        <v>3</v>
      </c>
      <c r="G95" s="58" t="s">
        <v>573</v>
      </c>
      <c r="H95" s="58">
        <v>4389</v>
      </c>
      <c r="I95" s="58">
        <v>40310</v>
      </c>
      <c r="J95" s="58">
        <v>0</v>
      </c>
      <c r="K95" s="58"/>
      <c r="L95" s="58">
        <v>1730</v>
      </c>
      <c r="M95" s="58">
        <v>3882</v>
      </c>
      <c r="N95" s="58">
        <v>0</v>
      </c>
      <c r="O95" s="97">
        <f>SUM(Table24[[#This Row],[SHL_PIN_IDPs]:[SHL_PIN_NDP]])</f>
        <v>0</v>
      </c>
      <c r="P95" s="98">
        <v>0</v>
      </c>
      <c r="Q95" s="98">
        <v>0</v>
      </c>
      <c r="R95" s="98">
        <v>0</v>
      </c>
      <c r="S95" s="98">
        <f>ROUND(SUM(Table24[[#This Row],[SHL_TAR_IDPs]:[SHL_TAR_NDP]]),0)</f>
        <v>0</v>
      </c>
      <c r="T95" s="48">
        <f>SUM(Table24[[#This Row],[HIDE IDP]:[HIDE NDP]])</f>
        <v>0</v>
      </c>
      <c r="U95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0</v>
      </c>
      <c r="V95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0</v>
      </c>
      <c r="W95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0</v>
      </c>
      <c r="X95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0</v>
      </c>
      <c r="Y95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0</v>
      </c>
      <c r="Z95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95" s="49">
        <f>ROUND($P$8*(Table24[[#This Row],[SHL_TAR_IDPs]]*$AA$3+Table24[[#This Row],[SHL_TAR_HC]]*$AA$4+Table24[[#This Row],[SHL_TAR_NDP]]*$AA$5)/$AA$18,0)</f>
        <v>0</v>
      </c>
      <c r="AB95" s="49">
        <f>ROUND($P$8*(Table24[[#This Row],[SHL_TAR_IDPs]]*$AB$3+Table24[[#This Row],[SHL_TAR_HC]]*$AB$4+Table24[[#This Row],[SHL_TAR_NDP]]*$AB$5)/$AB$18,0)</f>
        <v>0</v>
      </c>
      <c r="AC95" s="49">
        <f>ROUND($Q$8*(Table24[[#This Row],[SHL_TAR_IDPs]]*$AC$3+Table24[[#This Row],[SHL_TAR_HC]]*$AC$4+Table24[[#This Row],[SHL_TAR_NDP]]*$AC$5)/$AC$18,0)</f>
        <v>0</v>
      </c>
      <c r="AD95" s="49">
        <f>ROUND($Q$8*(Table24[[#This Row],[SHL_TAR_IDPs]]*$AD$3+Table24[[#This Row],[SHL_TAR_HC]]*$AD$4+Table24[[#This Row],[SHL_TAR_NDP]]*$AD$5)/$AD$18,0)</f>
        <v>0</v>
      </c>
      <c r="AE95" s="49">
        <f>ROUND($Q$8*(Table24[[#This Row],[SHL_TAR_IDPs]]*$AE$3+Table24[[#This Row],[SHL_TAR_HC]]*$AE$4+Table24[[#This Row],[SHL_TAR_NDP]]*$AE$5)/$AE$18,0)</f>
        <v>0</v>
      </c>
      <c r="AF95" s="49">
        <f>ROUND($Q$8*(Table24[[#This Row],[SHL_TAR_IDPs]]*$AF$3+Table24[[#This Row],[SHL_TAR_HC]]*$AF$4+Table24[[#This Row],[SHL_TAR_NDP]]*$AF$5)/$AF$18,0)</f>
        <v>0</v>
      </c>
      <c r="AG95" s="49">
        <f>ROUND($Q$8*(Table24[[#This Row],[SHL_TAR_IDPs]]*$AG$3+Table24[[#This Row],[SHL_TAR_HC]]*$AG$4+Table24[[#This Row],[SHL_TAR_NDP]]*$AG$5)/$AG$18,0)</f>
        <v>0</v>
      </c>
      <c r="AH95" s="49">
        <f>ROUND($Q$8*(Table24[[#This Row],[SHL_TAR_IDPs]]*$AH$3+Table24[[#This Row],[SHL_TAR_HC]]*$AH$4+Table24[[#This Row],[SHL_TAR_NDP]]*$AH$5)/$AH$18,0)</f>
        <v>0</v>
      </c>
      <c r="AI95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</row>
    <row r="96" spans="1:35" x14ac:dyDescent="0.55000000000000004">
      <c r="A96" t="s">
        <v>448</v>
      </c>
      <c r="B96" t="s">
        <v>128</v>
      </c>
      <c r="C96" t="s">
        <v>318</v>
      </c>
      <c r="D96" s="58">
        <f>_xlfn.XLOOKUP($B96, 'Prioritization calculation'!D:D, 'Prioritization calculation'!X:X, "")</f>
        <v>5</v>
      </c>
      <c r="E96" s="58">
        <v>3</v>
      </c>
      <c r="F96" s="58">
        <v>3</v>
      </c>
      <c r="G96" s="58" t="s">
        <v>572</v>
      </c>
      <c r="H96" s="58">
        <v>3990</v>
      </c>
      <c r="I96" s="58">
        <v>1150</v>
      </c>
      <c r="J96" s="58">
        <v>0</v>
      </c>
      <c r="K96" s="58"/>
      <c r="L96" s="58">
        <v>0</v>
      </c>
      <c r="M96" s="58">
        <v>791</v>
      </c>
      <c r="N96" s="58">
        <v>0</v>
      </c>
      <c r="O96" s="97">
        <f>SUM(Table24[[#This Row],[SHL_PIN_IDPs]:[SHL_PIN_NDP]])</f>
        <v>9435</v>
      </c>
      <c r="P96" s="98">
        <v>1596</v>
      </c>
      <c r="Q96" s="98">
        <v>798</v>
      </c>
      <c r="R96" s="98">
        <v>7041</v>
      </c>
      <c r="S96" s="98">
        <f>ROUND(SUM(Table24[[#This Row],[SHL_TAR_IDPs]:[SHL_TAR_NDP]]),0)</f>
        <v>0</v>
      </c>
      <c r="T96" s="48">
        <f>SUM(Table24[[#This Row],[HIDE IDP]:[HIDE NDP]])</f>
        <v>288</v>
      </c>
      <c r="U96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80</v>
      </c>
      <c r="V96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32</v>
      </c>
      <c r="W96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176</v>
      </c>
      <c r="X96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0</v>
      </c>
      <c r="Y96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0</v>
      </c>
      <c r="Z96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96" s="49">
        <f>ROUND($P$8*(Table24[[#This Row],[SHL_TAR_IDPs]]*$AA$3+Table24[[#This Row],[SHL_TAR_HC]]*$AA$4+Table24[[#This Row],[SHL_TAR_NDP]]*$AA$5)/$AA$18,0)</f>
        <v>0</v>
      </c>
      <c r="AB96" s="49">
        <f>ROUND($P$8*(Table24[[#This Row],[SHL_TAR_IDPs]]*$AB$3+Table24[[#This Row],[SHL_TAR_HC]]*$AB$4+Table24[[#This Row],[SHL_TAR_NDP]]*$AB$5)/$AB$18,0)</f>
        <v>0</v>
      </c>
      <c r="AC96" s="49">
        <f>ROUND($Q$8*(Table24[[#This Row],[SHL_TAR_IDPs]]*$AC$3+Table24[[#This Row],[SHL_TAR_HC]]*$AC$4+Table24[[#This Row],[SHL_TAR_NDP]]*$AC$5)/$AC$18,0)</f>
        <v>0</v>
      </c>
      <c r="AD96" s="49">
        <f>ROUND($Q$8*(Table24[[#This Row],[SHL_TAR_IDPs]]*$AD$3+Table24[[#This Row],[SHL_TAR_HC]]*$AD$4+Table24[[#This Row],[SHL_TAR_NDP]]*$AD$5)/$AD$18,0)</f>
        <v>0</v>
      </c>
      <c r="AE96" s="49">
        <f>ROUND($Q$8*(Table24[[#This Row],[SHL_TAR_IDPs]]*$AE$3+Table24[[#This Row],[SHL_TAR_HC]]*$AE$4+Table24[[#This Row],[SHL_TAR_NDP]]*$AE$5)/$AE$18,0)</f>
        <v>0</v>
      </c>
      <c r="AF96" s="49">
        <f>ROUND($Q$8*(Table24[[#This Row],[SHL_TAR_IDPs]]*$AF$3+Table24[[#This Row],[SHL_TAR_HC]]*$AF$4+Table24[[#This Row],[SHL_TAR_NDP]]*$AF$5)/$AF$18,0)</f>
        <v>0</v>
      </c>
      <c r="AG96" s="49">
        <f>ROUND($Q$8*(Table24[[#This Row],[SHL_TAR_IDPs]]*$AG$3+Table24[[#This Row],[SHL_TAR_HC]]*$AG$4+Table24[[#This Row],[SHL_TAR_NDP]]*$AG$5)/$AG$18,0)</f>
        <v>0</v>
      </c>
      <c r="AH96" s="49">
        <f>ROUND($Q$8*(Table24[[#This Row],[SHL_TAR_IDPs]]*$AH$3+Table24[[#This Row],[SHL_TAR_HC]]*$AH$4+Table24[[#This Row],[SHL_TAR_NDP]]*$AH$5)/$AH$18,0)</f>
        <v>0</v>
      </c>
      <c r="AI96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</row>
    <row r="97" spans="1:35" x14ac:dyDescent="0.55000000000000004">
      <c r="A97" t="s">
        <v>448</v>
      </c>
      <c r="B97" t="s">
        <v>129</v>
      </c>
      <c r="C97" t="s">
        <v>319</v>
      </c>
      <c r="D97" s="58">
        <f>_xlfn.XLOOKUP($B97, 'Prioritization calculation'!D:D, 'Prioritization calculation'!X:X, "")</f>
        <v>3</v>
      </c>
      <c r="E97" s="58">
        <v>0</v>
      </c>
      <c r="F97" s="58">
        <v>4</v>
      </c>
      <c r="G97" s="58" t="s">
        <v>574</v>
      </c>
      <c r="H97" s="58">
        <v>0</v>
      </c>
      <c r="I97" s="58">
        <v>2500</v>
      </c>
      <c r="J97" s="58">
        <v>0</v>
      </c>
      <c r="K97" s="58"/>
      <c r="L97" s="58">
        <v>0</v>
      </c>
      <c r="M97" s="58">
        <v>0</v>
      </c>
      <c r="N97" s="58">
        <v>0</v>
      </c>
      <c r="O97" s="97">
        <f>SUM(Table24[[#This Row],[SHL_PIN_IDPs]:[SHL_PIN_NDP]])</f>
        <v>0</v>
      </c>
      <c r="P97" s="98">
        <v>0</v>
      </c>
      <c r="Q97" s="98">
        <v>0</v>
      </c>
      <c r="R97" s="98">
        <v>0</v>
      </c>
      <c r="S97" s="98">
        <f>ROUND(SUM(Table24[[#This Row],[SHL_TAR_IDPs]:[SHL_TAR_NDP]]),0)</f>
        <v>0</v>
      </c>
      <c r="T97" s="48">
        <f>SUM(Table24[[#This Row],[HIDE IDP]:[HIDE NDP]])</f>
        <v>0</v>
      </c>
      <c r="U97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0</v>
      </c>
      <c r="V97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0</v>
      </c>
      <c r="W97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0</v>
      </c>
      <c r="X97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0</v>
      </c>
      <c r="Y97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0</v>
      </c>
      <c r="Z97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97" s="49">
        <f>ROUND($P$8*(Table24[[#This Row],[SHL_TAR_IDPs]]*$AA$3+Table24[[#This Row],[SHL_TAR_HC]]*$AA$4+Table24[[#This Row],[SHL_TAR_NDP]]*$AA$5)/$AA$18,0)</f>
        <v>0</v>
      </c>
      <c r="AB97" s="49">
        <f>ROUND($P$8*(Table24[[#This Row],[SHL_TAR_IDPs]]*$AB$3+Table24[[#This Row],[SHL_TAR_HC]]*$AB$4+Table24[[#This Row],[SHL_TAR_NDP]]*$AB$5)/$AB$18,0)</f>
        <v>0</v>
      </c>
      <c r="AC97" s="49">
        <f>ROUND($Q$8*(Table24[[#This Row],[SHL_TAR_IDPs]]*$AC$3+Table24[[#This Row],[SHL_TAR_HC]]*$AC$4+Table24[[#This Row],[SHL_TAR_NDP]]*$AC$5)/$AC$18,0)</f>
        <v>0</v>
      </c>
      <c r="AD97" s="49">
        <f>ROUND($Q$8*(Table24[[#This Row],[SHL_TAR_IDPs]]*$AD$3+Table24[[#This Row],[SHL_TAR_HC]]*$AD$4+Table24[[#This Row],[SHL_TAR_NDP]]*$AD$5)/$AD$18,0)</f>
        <v>0</v>
      </c>
      <c r="AE97" s="49">
        <f>ROUND($Q$8*(Table24[[#This Row],[SHL_TAR_IDPs]]*$AE$3+Table24[[#This Row],[SHL_TAR_HC]]*$AE$4+Table24[[#This Row],[SHL_TAR_NDP]]*$AE$5)/$AE$18,0)</f>
        <v>0</v>
      </c>
      <c r="AF97" s="49">
        <f>ROUND($Q$8*(Table24[[#This Row],[SHL_TAR_IDPs]]*$AF$3+Table24[[#This Row],[SHL_TAR_HC]]*$AF$4+Table24[[#This Row],[SHL_TAR_NDP]]*$AF$5)/$AF$18,0)</f>
        <v>0</v>
      </c>
      <c r="AG97" s="49">
        <f>ROUND($Q$8*(Table24[[#This Row],[SHL_TAR_IDPs]]*$AG$3+Table24[[#This Row],[SHL_TAR_HC]]*$AG$4+Table24[[#This Row],[SHL_TAR_NDP]]*$AG$5)/$AG$18,0)</f>
        <v>0</v>
      </c>
      <c r="AH97" s="49">
        <f>ROUND($Q$8*(Table24[[#This Row],[SHL_TAR_IDPs]]*$AH$3+Table24[[#This Row],[SHL_TAR_HC]]*$AH$4+Table24[[#This Row],[SHL_TAR_NDP]]*$AH$5)/$AH$18,0)</f>
        <v>0</v>
      </c>
      <c r="AI97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</row>
    <row r="98" spans="1:35" x14ac:dyDescent="0.55000000000000004">
      <c r="A98" t="s">
        <v>448</v>
      </c>
      <c r="B98" t="s">
        <v>130</v>
      </c>
      <c r="C98" t="s">
        <v>320</v>
      </c>
      <c r="D98" s="58">
        <f>_xlfn.XLOOKUP($B98, 'Prioritization calculation'!D:D, 'Prioritization calculation'!X:X, "")</f>
        <v>3</v>
      </c>
      <c r="E98" s="58">
        <v>3</v>
      </c>
      <c r="F98" s="58">
        <v>3</v>
      </c>
      <c r="G98" s="58" t="s">
        <v>572</v>
      </c>
      <c r="H98" s="58">
        <v>2090</v>
      </c>
      <c r="I98" s="58">
        <v>230</v>
      </c>
      <c r="J98" s="58">
        <v>0</v>
      </c>
      <c r="K98" s="58"/>
      <c r="L98" s="58">
        <v>0</v>
      </c>
      <c r="M98" s="58">
        <v>4165</v>
      </c>
      <c r="N98" s="58">
        <v>4653.7448979591836</v>
      </c>
      <c r="O98" s="97">
        <f>SUM(Table24[[#This Row],[SHL_PIN_IDPs]:[SHL_PIN_NDP]])</f>
        <v>9285</v>
      </c>
      <c r="P98" s="98">
        <v>4618</v>
      </c>
      <c r="Q98" s="98">
        <v>2309</v>
      </c>
      <c r="R98" s="98">
        <v>2358</v>
      </c>
      <c r="S98" s="98">
        <f>ROUND(SUM(Table24[[#This Row],[SHL_TAR_IDPs]:[SHL_TAR_NDP]]),0)</f>
        <v>0</v>
      </c>
      <c r="T98" s="100">
        <f>SUM(Table24[[#This Row],[HIDE IDP]:[HIDE NDP]])</f>
        <v>1529.6</v>
      </c>
      <c r="U98" s="100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924</v>
      </c>
      <c r="V98" s="100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369.6</v>
      </c>
      <c r="W98" s="100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236</v>
      </c>
      <c r="X98" s="98">
        <f>100000*AK98</f>
        <v>0</v>
      </c>
      <c r="Y98" s="9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0</v>
      </c>
      <c r="Z98" s="9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98" s="49">
        <f>ROUND($P$8*(Table24[[#This Row],[SHL_TAR_IDPs]]*$AA$3+Table24[[#This Row],[SHL_TAR_HC]]*$AA$4+Table24[[#This Row],[SHL_TAR_NDP]]*$AA$5)/$AA$18,0)</f>
        <v>0</v>
      </c>
      <c r="AB98" s="49">
        <f>ROUND($P$8*(Table24[[#This Row],[SHL_TAR_IDPs]]*$AB$3+Table24[[#This Row],[SHL_TAR_HC]]*$AB$4+Table24[[#This Row],[SHL_TAR_NDP]]*$AB$5)/$AB$18,0)</f>
        <v>0</v>
      </c>
      <c r="AC98" s="49">
        <f>ROUND($Q$8*(Table24[[#This Row],[SHL_TAR_IDPs]]*$AC$3+Table24[[#This Row],[SHL_TAR_HC]]*$AC$4+Table24[[#This Row],[SHL_TAR_NDP]]*$AC$5)/$AC$18,0)</f>
        <v>0</v>
      </c>
      <c r="AD98" s="49">
        <f>ROUND($Q$8*(Table24[[#This Row],[SHL_TAR_IDPs]]*$AD$3+Table24[[#This Row],[SHL_TAR_HC]]*$AD$4+Table24[[#This Row],[SHL_TAR_NDP]]*$AD$5)/$AD$18,0)</f>
        <v>0</v>
      </c>
      <c r="AE98" s="49">
        <f>ROUND($Q$8*(Table24[[#This Row],[SHL_TAR_IDPs]]*$AE$3+Table24[[#This Row],[SHL_TAR_HC]]*$AE$4+Table24[[#This Row],[SHL_TAR_NDP]]*$AE$5)/$AE$18,0)</f>
        <v>0</v>
      </c>
      <c r="AF98" s="49">
        <f>ROUND($Q$8*(Table24[[#This Row],[SHL_TAR_IDPs]]*$AF$3+Table24[[#This Row],[SHL_TAR_HC]]*$AF$4+Table24[[#This Row],[SHL_TAR_NDP]]*$AF$5)/$AF$18,0)</f>
        <v>0</v>
      </c>
      <c r="AG98" s="49">
        <f>ROUND($Q$8*(Table24[[#This Row],[SHL_TAR_IDPs]]*$AG$3+Table24[[#This Row],[SHL_TAR_HC]]*$AG$4+Table24[[#This Row],[SHL_TAR_NDP]]*$AG$5)/$AG$18,0)</f>
        <v>0</v>
      </c>
      <c r="AH98" s="49">
        <f>ROUND($Q$8*(Table24[[#This Row],[SHL_TAR_IDPs]]*$AH$3+Table24[[#This Row],[SHL_TAR_HC]]*$AH$4+Table24[[#This Row],[SHL_TAR_NDP]]*$AH$5)/$AH$18,0)</f>
        <v>0</v>
      </c>
      <c r="AI98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</row>
    <row r="99" spans="1:35" x14ac:dyDescent="0.55000000000000004">
      <c r="A99" t="s">
        <v>448</v>
      </c>
      <c r="B99" t="s">
        <v>131</v>
      </c>
      <c r="C99" t="s">
        <v>321</v>
      </c>
      <c r="D99" s="58">
        <f>_xlfn.XLOOKUP($B99, 'Prioritization calculation'!D:D, 'Prioritization calculation'!X:X, "")</f>
        <v>5</v>
      </c>
      <c r="E99" s="58">
        <v>3</v>
      </c>
      <c r="F99" s="58">
        <v>4</v>
      </c>
      <c r="G99" s="58" t="s">
        <v>572</v>
      </c>
      <c r="H99" s="58">
        <v>350</v>
      </c>
      <c r="I99" s="58">
        <v>0</v>
      </c>
      <c r="J99" s="58">
        <v>0</v>
      </c>
      <c r="K99" s="58"/>
      <c r="L99" s="58">
        <v>0</v>
      </c>
      <c r="M99" s="58">
        <v>413</v>
      </c>
      <c r="N99" s="58">
        <v>0</v>
      </c>
      <c r="O99" s="97">
        <f>SUM(Table24[[#This Row],[SHL_PIN_IDPs]:[SHL_PIN_NDP]])</f>
        <v>7697</v>
      </c>
      <c r="P99" s="98">
        <v>140</v>
      </c>
      <c r="Q99" s="98">
        <v>70</v>
      </c>
      <c r="R99" s="98">
        <v>7487</v>
      </c>
      <c r="S99" s="98">
        <f>ROUND(SUM(Table24[[#This Row],[SHL_TAR_IDPs]:[SHL_TAR_NDP]]),0)</f>
        <v>0</v>
      </c>
      <c r="T99" s="48">
        <f>SUM(Table24[[#This Row],[HIDE IDP]:[HIDE NDP]])</f>
        <v>197.2</v>
      </c>
      <c r="U99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7</v>
      </c>
      <c r="V99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3.2</v>
      </c>
      <c r="W99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187</v>
      </c>
      <c r="X99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0</v>
      </c>
      <c r="Y99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0</v>
      </c>
      <c r="Z99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99" s="49">
        <f>ROUND($P$8*(Table24[[#This Row],[SHL_TAR_IDPs]]*$AA$3+Table24[[#This Row],[SHL_TAR_HC]]*$AA$4+Table24[[#This Row],[SHL_TAR_NDP]]*$AA$5)/$AA$18,0)</f>
        <v>0</v>
      </c>
      <c r="AB99" s="49">
        <f>ROUND($P$8*(Table24[[#This Row],[SHL_TAR_IDPs]]*$AB$3+Table24[[#This Row],[SHL_TAR_HC]]*$AB$4+Table24[[#This Row],[SHL_TAR_NDP]]*$AB$5)/$AB$18,0)</f>
        <v>0</v>
      </c>
      <c r="AC99" s="49">
        <f>ROUND($Q$8*(Table24[[#This Row],[SHL_TAR_IDPs]]*$AC$3+Table24[[#This Row],[SHL_TAR_HC]]*$AC$4+Table24[[#This Row],[SHL_TAR_NDP]]*$AC$5)/$AC$18,0)</f>
        <v>0</v>
      </c>
      <c r="AD99" s="49">
        <f>ROUND($Q$8*(Table24[[#This Row],[SHL_TAR_IDPs]]*$AD$3+Table24[[#This Row],[SHL_TAR_HC]]*$AD$4+Table24[[#This Row],[SHL_TAR_NDP]]*$AD$5)/$AD$18,0)</f>
        <v>0</v>
      </c>
      <c r="AE99" s="49">
        <f>ROUND($Q$8*(Table24[[#This Row],[SHL_TAR_IDPs]]*$AE$3+Table24[[#This Row],[SHL_TAR_HC]]*$AE$4+Table24[[#This Row],[SHL_TAR_NDP]]*$AE$5)/$AE$18,0)</f>
        <v>0</v>
      </c>
      <c r="AF99" s="49">
        <f>ROUND($Q$8*(Table24[[#This Row],[SHL_TAR_IDPs]]*$AF$3+Table24[[#This Row],[SHL_TAR_HC]]*$AF$4+Table24[[#This Row],[SHL_TAR_NDP]]*$AF$5)/$AF$18,0)</f>
        <v>0</v>
      </c>
      <c r="AG99" s="49">
        <f>ROUND($Q$8*(Table24[[#This Row],[SHL_TAR_IDPs]]*$AG$3+Table24[[#This Row],[SHL_TAR_HC]]*$AG$4+Table24[[#This Row],[SHL_TAR_NDP]]*$AG$5)/$AG$18,0)</f>
        <v>0</v>
      </c>
      <c r="AH99" s="49">
        <f>ROUND($Q$8*(Table24[[#This Row],[SHL_TAR_IDPs]]*$AH$3+Table24[[#This Row],[SHL_TAR_HC]]*$AH$4+Table24[[#This Row],[SHL_TAR_NDP]]*$AH$5)/$AH$18,0)</f>
        <v>0</v>
      </c>
      <c r="AI99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</row>
    <row r="100" spans="1:35" x14ac:dyDescent="0.55000000000000004">
      <c r="A100" t="s">
        <v>448</v>
      </c>
      <c r="B100" t="s">
        <v>132</v>
      </c>
      <c r="C100" t="s">
        <v>322</v>
      </c>
      <c r="D100" s="58">
        <f>_xlfn.XLOOKUP($B100, 'Prioritization calculation'!D:D, 'Prioritization calculation'!X:X, "")</f>
        <v>4</v>
      </c>
      <c r="E100" s="58">
        <v>2</v>
      </c>
      <c r="F100" s="58">
        <v>4</v>
      </c>
      <c r="G100" s="58" t="s">
        <v>572</v>
      </c>
      <c r="H100" s="58">
        <v>0</v>
      </c>
      <c r="I100" s="58">
        <v>4800</v>
      </c>
      <c r="J100" s="58">
        <v>0</v>
      </c>
      <c r="K100" s="58"/>
      <c r="L100" s="58">
        <v>0</v>
      </c>
      <c r="M100" s="58">
        <v>630</v>
      </c>
      <c r="N100" s="58">
        <v>2407.5</v>
      </c>
      <c r="O100" s="97">
        <f>SUM(Table24[[#This Row],[SHL_PIN_IDPs]:[SHL_PIN_NDP]])</f>
        <v>0</v>
      </c>
      <c r="P100" s="98">
        <v>0</v>
      </c>
      <c r="Q100" s="98">
        <v>0</v>
      </c>
      <c r="R100" s="98">
        <v>0</v>
      </c>
      <c r="S100" s="98">
        <f>ROUND(SUM(Table24[[#This Row],[SHL_TAR_IDPs]:[SHL_TAR_NDP]]),0)</f>
        <v>0</v>
      </c>
      <c r="T100" s="48">
        <f>SUM(Table24[[#This Row],[HIDE IDP]:[HIDE NDP]])</f>
        <v>0</v>
      </c>
      <c r="U100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0</v>
      </c>
      <c r="V100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0</v>
      </c>
      <c r="W100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0</v>
      </c>
      <c r="X100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0</v>
      </c>
      <c r="Y100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0</v>
      </c>
      <c r="Z100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100" s="49">
        <f>ROUND($P$8*(Table24[[#This Row],[SHL_TAR_IDPs]]*$AA$3+Table24[[#This Row],[SHL_TAR_HC]]*$AA$4+Table24[[#This Row],[SHL_TAR_NDP]]*$AA$5)/$AA$18,0)</f>
        <v>0</v>
      </c>
      <c r="AB100" s="49">
        <f>ROUND($P$8*(Table24[[#This Row],[SHL_TAR_IDPs]]*$AB$3+Table24[[#This Row],[SHL_TAR_HC]]*$AB$4+Table24[[#This Row],[SHL_TAR_NDP]]*$AB$5)/$AB$18,0)</f>
        <v>0</v>
      </c>
      <c r="AC100" s="49">
        <f>ROUND($Q$8*(Table24[[#This Row],[SHL_TAR_IDPs]]*$AC$3+Table24[[#This Row],[SHL_TAR_HC]]*$AC$4+Table24[[#This Row],[SHL_TAR_NDP]]*$AC$5)/$AC$18,0)</f>
        <v>0</v>
      </c>
      <c r="AD100" s="49">
        <f>ROUND($Q$8*(Table24[[#This Row],[SHL_TAR_IDPs]]*$AD$3+Table24[[#This Row],[SHL_TAR_HC]]*$AD$4+Table24[[#This Row],[SHL_TAR_NDP]]*$AD$5)/$AD$18,0)</f>
        <v>0</v>
      </c>
      <c r="AE100" s="49">
        <f>ROUND($Q$8*(Table24[[#This Row],[SHL_TAR_IDPs]]*$AE$3+Table24[[#This Row],[SHL_TAR_HC]]*$AE$4+Table24[[#This Row],[SHL_TAR_NDP]]*$AE$5)/$AE$18,0)</f>
        <v>0</v>
      </c>
      <c r="AF100" s="49">
        <f>ROUND($Q$8*(Table24[[#This Row],[SHL_TAR_IDPs]]*$AF$3+Table24[[#This Row],[SHL_TAR_HC]]*$AF$4+Table24[[#This Row],[SHL_TAR_NDP]]*$AF$5)/$AF$18,0)</f>
        <v>0</v>
      </c>
      <c r="AG100" s="49">
        <f>ROUND($Q$8*(Table24[[#This Row],[SHL_TAR_IDPs]]*$AG$3+Table24[[#This Row],[SHL_TAR_HC]]*$AG$4+Table24[[#This Row],[SHL_TAR_NDP]]*$AG$5)/$AG$18,0)</f>
        <v>0</v>
      </c>
      <c r="AH100" s="49">
        <f>ROUND($Q$8*(Table24[[#This Row],[SHL_TAR_IDPs]]*$AH$3+Table24[[#This Row],[SHL_TAR_HC]]*$AH$4+Table24[[#This Row],[SHL_TAR_NDP]]*$AH$5)/$AH$18,0)</f>
        <v>0</v>
      </c>
      <c r="AI100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</row>
    <row r="101" spans="1:35" x14ac:dyDescent="0.55000000000000004">
      <c r="A101" t="s">
        <v>448</v>
      </c>
      <c r="B101" t="s">
        <v>133</v>
      </c>
      <c r="C101" t="s">
        <v>323</v>
      </c>
      <c r="D101" s="58">
        <f>_xlfn.XLOOKUP($B101, 'Prioritization calculation'!D:D, 'Prioritization calculation'!X:X, "")</f>
        <v>3</v>
      </c>
      <c r="E101" s="58">
        <v>4</v>
      </c>
      <c r="F101" s="58">
        <v>5</v>
      </c>
      <c r="G101" s="58" t="s">
        <v>573</v>
      </c>
      <c r="H101" s="58">
        <v>9985</v>
      </c>
      <c r="I101" s="58">
        <v>37250</v>
      </c>
      <c r="J101" s="58">
        <v>0</v>
      </c>
      <c r="K101" s="58"/>
      <c r="L101" s="58">
        <v>0</v>
      </c>
      <c r="M101" s="58">
        <v>24273</v>
      </c>
      <c r="N101" s="58">
        <v>22108.036522946124</v>
      </c>
      <c r="O101" s="97">
        <f>SUM(Table24[[#This Row],[SHL_PIN_IDPs]:[SHL_PIN_NDP]])</f>
        <v>44133</v>
      </c>
      <c r="P101" s="98">
        <v>33100</v>
      </c>
      <c r="Q101" s="98">
        <v>11033</v>
      </c>
      <c r="R101" s="98">
        <v>0</v>
      </c>
      <c r="S101" s="98">
        <f>ROUND(SUM(Table24[[#This Row],[SHL_TAR_IDPs]:[SHL_TAR_NDP]]),0)</f>
        <v>16770</v>
      </c>
      <c r="T101" s="48">
        <f>SUM(Table24[[#This Row],[HIDE IDP]:[HIDE NDP]])</f>
        <v>16770.400000000001</v>
      </c>
      <c r="U101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13240</v>
      </c>
      <c r="V101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3530.4</v>
      </c>
      <c r="W101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0</v>
      </c>
      <c r="X101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13240</v>
      </c>
      <c r="Y101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3530.4</v>
      </c>
      <c r="Z101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101" s="49">
        <f>ROUND($P$8*(Table24[[#This Row],[SHL_TAR_IDPs]]*$AA$3+Table24[[#This Row],[SHL_TAR_HC]]*$AA$4+Table24[[#This Row],[SHL_TAR_NDP]]*$AA$5)/$AA$18,0)</f>
        <v>1425</v>
      </c>
      <c r="AB101" s="49">
        <f>ROUND($P$8*(Table24[[#This Row],[SHL_TAR_IDPs]]*$AB$3+Table24[[#This Row],[SHL_TAR_HC]]*$AB$4+Table24[[#This Row],[SHL_TAR_NDP]]*$AB$5)/$AB$18,0)</f>
        <v>1425</v>
      </c>
      <c r="AC101" s="49">
        <f>ROUND($Q$8*(Table24[[#This Row],[SHL_TAR_IDPs]]*$AC$3+Table24[[#This Row],[SHL_TAR_HC]]*$AC$4+Table24[[#This Row],[SHL_TAR_NDP]]*$AC$5)/$AC$18,0)</f>
        <v>132</v>
      </c>
      <c r="AD101" s="49">
        <f>ROUND($Q$8*(Table24[[#This Row],[SHL_TAR_IDPs]]*$AD$3+Table24[[#This Row],[SHL_TAR_HC]]*$AD$4+Table24[[#This Row],[SHL_TAR_NDP]]*$AD$5)/$AD$18,0)</f>
        <v>132</v>
      </c>
      <c r="AE101" s="49">
        <f>ROUND($Q$8*(Table24[[#This Row],[SHL_TAR_IDPs]]*$AE$3+Table24[[#This Row],[SHL_TAR_HC]]*$AE$4+Table24[[#This Row],[SHL_TAR_NDP]]*$AE$5)/$AE$18,0)</f>
        <v>168</v>
      </c>
      <c r="AF101" s="49">
        <f>ROUND($Q$8*(Table24[[#This Row],[SHL_TAR_IDPs]]*$AF$3+Table24[[#This Row],[SHL_TAR_HC]]*$AF$4+Table24[[#This Row],[SHL_TAR_NDP]]*$AF$5)/$AF$18,0)</f>
        <v>335</v>
      </c>
      <c r="AG101" s="49">
        <f>ROUND($Q$8*(Table24[[#This Row],[SHL_TAR_IDPs]]*$AG$3+Table24[[#This Row],[SHL_TAR_HC]]*$AG$4+Table24[[#This Row],[SHL_TAR_NDP]]*$AG$5)/$AG$18,0)</f>
        <v>609</v>
      </c>
      <c r="AH101" s="49">
        <f>ROUND($Q$8*(Table24[[#This Row],[SHL_TAR_IDPs]]*$AH$3+Table24[[#This Row],[SHL_TAR_HC]]*$AH$4+Table24[[#This Row],[SHL_TAR_NDP]]*$AH$5)/$AH$18,0)</f>
        <v>300</v>
      </c>
      <c r="AI101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</row>
    <row r="102" spans="1:35" x14ac:dyDescent="0.55000000000000004">
      <c r="A102" t="s">
        <v>448</v>
      </c>
      <c r="B102" t="s">
        <v>134</v>
      </c>
      <c r="C102" t="s">
        <v>324</v>
      </c>
      <c r="D102" s="58">
        <f>_xlfn.XLOOKUP($B102, 'Prioritization calculation'!D:D, 'Prioritization calculation'!X:X, "")</f>
        <v>4</v>
      </c>
      <c r="E102" s="58">
        <v>4</v>
      </c>
      <c r="F102" s="58">
        <v>3</v>
      </c>
      <c r="G102" s="58" t="s">
        <v>572</v>
      </c>
      <c r="H102" s="58">
        <v>11235</v>
      </c>
      <c r="I102" s="58">
        <v>205</v>
      </c>
      <c r="J102" s="58">
        <v>0</v>
      </c>
      <c r="K102" s="58"/>
      <c r="L102" s="58">
        <v>71145</v>
      </c>
      <c r="M102" s="58">
        <v>55146</v>
      </c>
      <c r="N102" s="58">
        <v>22419.557790130581</v>
      </c>
      <c r="O102" s="97">
        <f>SUM(Table24[[#This Row],[SHL_PIN_IDPs]:[SHL_PIN_NDP]])</f>
        <v>68396</v>
      </c>
      <c r="P102" s="98">
        <v>49467</v>
      </c>
      <c r="Q102" s="98">
        <v>6409</v>
      </c>
      <c r="R102" s="98">
        <v>12520</v>
      </c>
      <c r="S102" s="98">
        <f>ROUND(SUM(Table24[[#This Row],[SHL_TAR_IDPs]:[SHL_TAR_NDP]]),0)</f>
        <v>12171</v>
      </c>
      <c r="T102" s="48">
        <f>SUM(Table24[[#This Row],[HIDE IDP]:[HIDE NDP]])</f>
        <v>12170.6</v>
      </c>
      <c r="U102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9893</v>
      </c>
      <c r="V102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1025.6000000000001</v>
      </c>
      <c r="W102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1252</v>
      </c>
      <c r="X102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9893</v>
      </c>
      <c r="Y102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1025.6000000000001</v>
      </c>
      <c r="Z102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1252</v>
      </c>
      <c r="AA102" s="49">
        <f>ROUND($P$8*(Table24[[#This Row],[SHL_TAR_IDPs]]*$AA$3+Table24[[#This Row],[SHL_TAR_HC]]*$AA$4+Table24[[#This Row],[SHL_TAR_NDP]]*$AA$5)/$AA$18,0)</f>
        <v>1035</v>
      </c>
      <c r="AB102" s="49">
        <f>ROUND($P$8*(Table24[[#This Row],[SHL_TAR_IDPs]]*$AB$3+Table24[[#This Row],[SHL_TAR_HC]]*$AB$4+Table24[[#This Row],[SHL_TAR_NDP]]*$AB$5)/$AB$18,0)</f>
        <v>1035</v>
      </c>
      <c r="AC102" s="49">
        <f>ROUND($Q$8*(Table24[[#This Row],[SHL_TAR_IDPs]]*$AC$3+Table24[[#This Row],[SHL_TAR_HC]]*$AC$4+Table24[[#This Row],[SHL_TAR_NDP]]*$AC$5)/$AC$18,0)</f>
        <v>99</v>
      </c>
      <c r="AD102" s="49">
        <f>ROUND($Q$8*(Table24[[#This Row],[SHL_TAR_IDPs]]*$AD$3+Table24[[#This Row],[SHL_TAR_HC]]*$AD$4+Table24[[#This Row],[SHL_TAR_NDP]]*$AD$5)/$AD$18,0)</f>
        <v>99</v>
      </c>
      <c r="AE102" s="49">
        <f>ROUND($Q$8*(Table24[[#This Row],[SHL_TAR_IDPs]]*$AE$3+Table24[[#This Row],[SHL_TAR_HC]]*$AE$4+Table24[[#This Row],[SHL_TAR_NDP]]*$AE$5)/$AE$18,0)</f>
        <v>122</v>
      </c>
      <c r="AF102" s="49">
        <f>ROUND($Q$8*(Table24[[#This Row],[SHL_TAR_IDPs]]*$AF$3+Table24[[#This Row],[SHL_TAR_HC]]*$AF$4+Table24[[#This Row],[SHL_TAR_NDP]]*$AF$5)/$AF$18,0)</f>
        <v>243</v>
      </c>
      <c r="AG102" s="49">
        <f>ROUND($Q$8*(Table24[[#This Row],[SHL_TAR_IDPs]]*$AG$3+Table24[[#This Row],[SHL_TAR_HC]]*$AG$4+Table24[[#This Row],[SHL_TAR_NDP]]*$AG$5)/$AG$18,0)</f>
        <v>446</v>
      </c>
      <c r="AH102" s="49">
        <f>ROUND($Q$8*(Table24[[#This Row],[SHL_TAR_IDPs]]*$AH$3+Table24[[#This Row],[SHL_TAR_HC]]*$AH$4+Table24[[#This Row],[SHL_TAR_NDP]]*$AH$5)/$AH$18,0)</f>
        <v>208</v>
      </c>
      <c r="AI102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</row>
    <row r="103" spans="1:35" x14ac:dyDescent="0.55000000000000004">
      <c r="A103" t="s">
        <v>448</v>
      </c>
      <c r="B103" t="s">
        <v>135</v>
      </c>
      <c r="C103" t="s">
        <v>325</v>
      </c>
      <c r="D103" s="58">
        <f>_xlfn.XLOOKUP($B103, 'Prioritization calculation'!D:D, 'Prioritization calculation'!X:X, "")</f>
        <v>3</v>
      </c>
      <c r="E103" s="58">
        <v>3</v>
      </c>
      <c r="F103" s="58">
        <v>3</v>
      </c>
      <c r="G103" s="58" t="s">
        <v>573</v>
      </c>
      <c r="H103" s="58">
        <v>6600</v>
      </c>
      <c r="I103" s="58">
        <v>0</v>
      </c>
      <c r="J103" s="58">
        <v>0</v>
      </c>
      <c r="K103" s="58"/>
      <c r="L103" s="58">
        <v>0</v>
      </c>
      <c r="M103" s="58">
        <v>2637</v>
      </c>
      <c r="N103" s="58">
        <v>536.52941176470597</v>
      </c>
      <c r="O103" s="97">
        <f>SUM(Table24[[#This Row],[SHL_PIN_IDPs]:[SHL_PIN_NDP]])</f>
        <v>8578</v>
      </c>
      <c r="P103" s="98">
        <v>3127</v>
      </c>
      <c r="Q103" s="98">
        <v>1564</v>
      </c>
      <c r="R103" s="98">
        <v>3887</v>
      </c>
      <c r="S103" s="98">
        <f>ROUND(SUM(Table24[[#This Row],[SHL_TAR_IDPs]:[SHL_TAR_NDP]]),0)</f>
        <v>4400</v>
      </c>
      <c r="T103" s="100">
        <f>SUM(Table24[[#This Row],[HIDE IDP]:[HIDE NDP]])</f>
        <v>1263.9000000000001</v>
      </c>
      <c r="U103" s="100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625</v>
      </c>
      <c r="V103" s="100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250.4</v>
      </c>
      <c r="W103" s="100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388.5</v>
      </c>
      <c r="X103" s="98">
        <v>3000</v>
      </c>
      <c r="Y103" s="98">
        <v>1400</v>
      </c>
      <c r="Z103" s="9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103" s="49">
        <f>ROUND($P$8*(Table24[[#This Row],[SHL_TAR_IDPs]]*$AA$3+Table24[[#This Row],[SHL_TAR_HC]]*$AA$4+Table24[[#This Row],[SHL_TAR_NDP]]*$AA$5)/$AA$18,0)</f>
        <v>374</v>
      </c>
      <c r="AB103" s="49">
        <f>ROUND($P$8*(Table24[[#This Row],[SHL_TAR_IDPs]]*$AB$3+Table24[[#This Row],[SHL_TAR_HC]]*$AB$4+Table24[[#This Row],[SHL_TAR_NDP]]*$AB$5)/$AB$18,0)</f>
        <v>374</v>
      </c>
      <c r="AC103" s="49">
        <f>ROUND($Q$8*(Table24[[#This Row],[SHL_TAR_IDPs]]*$AC$3+Table24[[#This Row],[SHL_TAR_HC]]*$AC$4+Table24[[#This Row],[SHL_TAR_NDP]]*$AC$5)/$AC$18,0)</f>
        <v>30</v>
      </c>
      <c r="AD103" s="49">
        <f>ROUND($Q$8*(Table24[[#This Row],[SHL_TAR_IDPs]]*$AD$3+Table24[[#This Row],[SHL_TAR_HC]]*$AD$4+Table24[[#This Row],[SHL_TAR_NDP]]*$AD$5)/$AD$18,0)</f>
        <v>30</v>
      </c>
      <c r="AE103" s="49">
        <f>ROUND($Q$8*(Table24[[#This Row],[SHL_TAR_IDPs]]*$AE$3+Table24[[#This Row],[SHL_TAR_HC]]*$AE$4+Table24[[#This Row],[SHL_TAR_NDP]]*$AE$5)/$AE$18,0)</f>
        <v>44</v>
      </c>
      <c r="AF103" s="49">
        <f>ROUND($Q$8*(Table24[[#This Row],[SHL_TAR_IDPs]]*$AF$3+Table24[[#This Row],[SHL_TAR_HC]]*$AF$4+Table24[[#This Row],[SHL_TAR_NDP]]*$AF$5)/$AF$18,0)</f>
        <v>88</v>
      </c>
      <c r="AG103" s="49">
        <f>ROUND($Q$8*(Table24[[#This Row],[SHL_TAR_IDPs]]*$AG$3+Table24[[#This Row],[SHL_TAR_HC]]*$AG$4+Table24[[#This Row],[SHL_TAR_NDP]]*$AG$5)/$AG$18,0)</f>
        <v>174</v>
      </c>
      <c r="AH103" s="49">
        <f>ROUND($Q$8*(Table24[[#This Row],[SHL_TAR_IDPs]]*$AH$3+Table24[[#This Row],[SHL_TAR_HC]]*$AH$4+Table24[[#This Row],[SHL_TAR_NDP]]*$AH$5)/$AH$18,0)</f>
        <v>74</v>
      </c>
      <c r="AI103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</row>
    <row r="104" spans="1:35" x14ac:dyDescent="0.55000000000000004">
      <c r="A104" t="s">
        <v>448</v>
      </c>
      <c r="B104" t="s">
        <v>136</v>
      </c>
      <c r="C104" t="s">
        <v>326</v>
      </c>
      <c r="D104" s="58">
        <f>_xlfn.XLOOKUP($B104, 'Prioritization calculation'!D:D, 'Prioritization calculation'!X:X, "")</f>
        <v>3</v>
      </c>
      <c r="E104" s="58">
        <v>2</v>
      </c>
      <c r="F104" s="58">
        <v>5</v>
      </c>
      <c r="G104" s="58" t="s">
        <v>572</v>
      </c>
      <c r="H104" s="58">
        <v>255</v>
      </c>
      <c r="I104" s="58">
        <v>870</v>
      </c>
      <c r="J104" s="58">
        <v>0</v>
      </c>
      <c r="K104" s="58"/>
      <c r="L104" s="58">
        <v>0</v>
      </c>
      <c r="M104" s="58">
        <v>501</v>
      </c>
      <c r="N104" s="58">
        <v>0</v>
      </c>
      <c r="O104" s="97">
        <f>SUM(Table24[[#This Row],[SHL_PIN_IDPs]:[SHL_PIN_NDP]])</f>
        <v>0</v>
      </c>
      <c r="P104" s="98">
        <v>0</v>
      </c>
      <c r="Q104" s="98">
        <v>0</v>
      </c>
      <c r="R104" s="98">
        <v>0</v>
      </c>
      <c r="S104" s="98">
        <f>ROUND(SUM(Table24[[#This Row],[SHL_TAR_IDPs]:[SHL_TAR_NDP]]),0)</f>
        <v>0</v>
      </c>
      <c r="T104" s="48">
        <f>SUM(Table24[[#This Row],[HIDE IDP]:[HIDE NDP]])</f>
        <v>0</v>
      </c>
      <c r="U104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0</v>
      </c>
      <c r="V104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0</v>
      </c>
      <c r="W104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0</v>
      </c>
      <c r="X104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0</v>
      </c>
      <c r="Y104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0</v>
      </c>
      <c r="Z104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104" s="49">
        <f>ROUND($P$8*(Table24[[#This Row],[SHL_TAR_IDPs]]*$AA$3+Table24[[#This Row],[SHL_TAR_HC]]*$AA$4+Table24[[#This Row],[SHL_TAR_NDP]]*$AA$5)/$AA$18,0)</f>
        <v>0</v>
      </c>
      <c r="AB104" s="49">
        <f>ROUND($P$8*(Table24[[#This Row],[SHL_TAR_IDPs]]*$AB$3+Table24[[#This Row],[SHL_TAR_HC]]*$AB$4+Table24[[#This Row],[SHL_TAR_NDP]]*$AB$5)/$AB$18,0)</f>
        <v>0</v>
      </c>
      <c r="AC104" s="49">
        <f>ROUND($Q$8*(Table24[[#This Row],[SHL_TAR_IDPs]]*$AC$3+Table24[[#This Row],[SHL_TAR_HC]]*$AC$4+Table24[[#This Row],[SHL_TAR_NDP]]*$AC$5)/$AC$18,0)</f>
        <v>0</v>
      </c>
      <c r="AD104" s="49">
        <f>ROUND($Q$8*(Table24[[#This Row],[SHL_TAR_IDPs]]*$AD$3+Table24[[#This Row],[SHL_TAR_HC]]*$AD$4+Table24[[#This Row],[SHL_TAR_NDP]]*$AD$5)/$AD$18,0)</f>
        <v>0</v>
      </c>
      <c r="AE104" s="49">
        <f>ROUND($Q$8*(Table24[[#This Row],[SHL_TAR_IDPs]]*$AE$3+Table24[[#This Row],[SHL_TAR_HC]]*$AE$4+Table24[[#This Row],[SHL_TAR_NDP]]*$AE$5)/$AE$18,0)</f>
        <v>0</v>
      </c>
      <c r="AF104" s="49">
        <f>ROUND($Q$8*(Table24[[#This Row],[SHL_TAR_IDPs]]*$AF$3+Table24[[#This Row],[SHL_TAR_HC]]*$AF$4+Table24[[#This Row],[SHL_TAR_NDP]]*$AF$5)/$AF$18,0)</f>
        <v>0</v>
      </c>
      <c r="AG104" s="49">
        <f>ROUND($Q$8*(Table24[[#This Row],[SHL_TAR_IDPs]]*$AG$3+Table24[[#This Row],[SHL_TAR_HC]]*$AG$4+Table24[[#This Row],[SHL_TAR_NDP]]*$AG$5)/$AG$18,0)</f>
        <v>0</v>
      </c>
      <c r="AH104" s="49">
        <f>ROUND($Q$8*(Table24[[#This Row],[SHL_TAR_IDPs]]*$AH$3+Table24[[#This Row],[SHL_TAR_HC]]*$AH$4+Table24[[#This Row],[SHL_TAR_NDP]]*$AH$5)/$AH$18,0)</f>
        <v>0</v>
      </c>
      <c r="AI104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</row>
    <row r="105" spans="1:35" x14ac:dyDescent="0.55000000000000004">
      <c r="A105" t="s">
        <v>448</v>
      </c>
      <c r="B105" t="s">
        <v>137</v>
      </c>
      <c r="C105" t="s">
        <v>327</v>
      </c>
      <c r="D105" s="58">
        <f>_xlfn.XLOOKUP($B105, 'Prioritization calculation'!D:D, 'Prioritization calculation'!X:X, "")</f>
        <v>5</v>
      </c>
      <c r="E105" s="58">
        <v>4</v>
      </c>
      <c r="F105" s="58">
        <v>4</v>
      </c>
      <c r="G105" s="58" t="s">
        <v>572</v>
      </c>
      <c r="H105" s="58">
        <v>76540</v>
      </c>
      <c r="I105" s="58">
        <v>0</v>
      </c>
      <c r="J105" s="58">
        <v>0</v>
      </c>
      <c r="K105" s="58"/>
      <c r="L105" s="58">
        <v>15000</v>
      </c>
      <c r="M105" s="58">
        <v>75124</v>
      </c>
      <c r="N105" s="58">
        <v>26612.668793331773</v>
      </c>
      <c r="O105" s="97">
        <f>SUM(Table24[[#This Row],[SHL_PIN_IDPs]:[SHL_PIN_NDP]])</f>
        <v>89999</v>
      </c>
      <c r="P105" s="98">
        <v>68749</v>
      </c>
      <c r="Q105" s="98">
        <v>2789</v>
      </c>
      <c r="R105" s="98">
        <v>18461</v>
      </c>
      <c r="S105" s="98">
        <f>ROUND(SUM(Table24[[#This Row],[SHL_TAR_IDPs]:[SHL_TAR_NDP]]),0)</f>
        <v>8021</v>
      </c>
      <c r="T105" s="48">
        <f>SUM(Table24[[#This Row],[HIDE IDP]:[HIDE NDP]])</f>
        <v>8021.2</v>
      </c>
      <c r="U105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6875</v>
      </c>
      <c r="V105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223.20000000000002</v>
      </c>
      <c r="W105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923</v>
      </c>
      <c r="X105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6875</v>
      </c>
      <c r="Y105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223.20000000000002</v>
      </c>
      <c r="Z105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923</v>
      </c>
      <c r="AA105" s="49">
        <f>ROUND($P$8*(Table24[[#This Row],[SHL_TAR_IDPs]]*$AA$3+Table24[[#This Row],[SHL_TAR_HC]]*$AA$4+Table24[[#This Row],[SHL_TAR_NDP]]*$AA$5)/$AA$18,0)</f>
        <v>682</v>
      </c>
      <c r="AB105" s="49">
        <f>ROUND($P$8*(Table24[[#This Row],[SHL_TAR_IDPs]]*$AB$3+Table24[[#This Row],[SHL_TAR_HC]]*$AB$4+Table24[[#This Row],[SHL_TAR_NDP]]*$AB$5)/$AB$18,0)</f>
        <v>682</v>
      </c>
      <c r="AC105" s="49">
        <f>ROUND($Q$8*(Table24[[#This Row],[SHL_TAR_IDPs]]*$AC$3+Table24[[#This Row],[SHL_TAR_HC]]*$AC$4+Table24[[#This Row],[SHL_TAR_NDP]]*$AC$5)/$AC$18,0)</f>
        <v>69</v>
      </c>
      <c r="AD105" s="49">
        <f>ROUND($Q$8*(Table24[[#This Row],[SHL_TAR_IDPs]]*$AD$3+Table24[[#This Row],[SHL_TAR_HC]]*$AD$4+Table24[[#This Row],[SHL_TAR_NDP]]*$AD$5)/$AD$18,0)</f>
        <v>69</v>
      </c>
      <c r="AE105" s="49">
        <f>ROUND($Q$8*(Table24[[#This Row],[SHL_TAR_IDPs]]*$AE$3+Table24[[#This Row],[SHL_TAR_HC]]*$AE$4+Table24[[#This Row],[SHL_TAR_NDP]]*$AE$5)/$AE$18,0)</f>
        <v>80</v>
      </c>
      <c r="AF105" s="49">
        <f>ROUND($Q$8*(Table24[[#This Row],[SHL_TAR_IDPs]]*$AF$3+Table24[[#This Row],[SHL_TAR_HC]]*$AF$4+Table24[[#This Row],[SHL_TAR_NDP]]*$AF$5)/$AF$18,0)</f>
        <v>160</v>
      </c>
      <c r="AG105" s="49">
        <f>ROUND($Q$8*(Table24[[#This Row],[SHL_TAR_IDPs]]*$AG$3+Table24[[#This Row],[SHL_TAR_HC]]*$AG$4+Table24[[#This Row],[SHL_TAR_NDP]]*$AG$5)/$AG$18,0)</f>
        <v>284</v>
      </c>
      <c r="AH105" s="49">
        <f>ROUND($Q$8*(Table24[[#This Row],[SHL_TAR_IDPs]]*$AH$3+Table24[[#This Row],[SHL_TAR_HC]]*$AH$4+Table24[[#This Row],[SHL_TAR_NDP]]*$AH$5)/$AH$18,0)</f>
        <v>140</v>
      </c>
      <c r="AI105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</row>
    <row r="106" spans="1:35" x14ac:dyDescent="0.55000000000000004">
      <c r="A106" t="s">
        <v>448</v>
      </c>
      <c r="B106" t="s">
        <v>138</v>
      </c>
      <c r="C106" t="s">
        <v>328</v>
      </c>
      <c r="D106" s="58">
        <f>_xlfn.XLOOKUP($B106, 'Prioritization calculation'!D:D, 'Prioritization calculation'!X:X, "")</f>
        <v>5</v>
      </c>
      <c r="E106" s="58">
        <v>3</v>
      </c>
      <c r="F106" s="58">
        <v>4</v>
      </c>
      <c r="G106" s="58" t="s">
        <v>573</v>
      </c>
      <c r="H106" s="58">
        <v>7050</v>
      </c>
      <c r="I106" s="98">
        <v>19240</v>
      </c>
      <c r="J106" s="58">
        <v>0</v>
      </c>
      <c r="K106" s="58"/>
      <c r="L106" s="58">
        <v>0</v>
      </c>
      <c r="M106" s="58">
        <v>11433</v>
      </c>
      <c r="N106" s="58">
        <v>5764.5852402745995</v>
      </c>
      <c r="O106" s="97">
        <f>SUM(Table24[[#This Row],[SHL_PIN_IDPs]:[SHL_PIN_NDP]])</f>
        <v>22677</v>
      </c>
      <c r="P106" s="98">
        <v>8622</v>
      </c>
      <c r="Q106" s="98">
        <v>4311</v>
      </c>
      <c r="R106" s="98">
        <v>9744</v>
      </c>
      <c r="S106" s="98">
        <f>ROUND(SUM(Table24[[#This Row],[SHL_TAR_IDPs]:[SHL_TAR_NDP]]),0)</f>
        <v>847</v>
      </c>
      <c r="T106" s="48">
        <f>SUM(Table24[[#This Row],[HIDE IDP]:[HIDE NDP]])</f>
        <v>847.3</v>
      </c>
      <c r="U106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431</v>
      </c>
      <c r="V106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172.8</v>
      </c>
      <c r="W106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243.5</v>
      </c>
      <c r="X106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431</v>
      </c>
      <c r="Y106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172.8</v>
      </c>
      <c r="Z106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243.5</v>
      </c>
      <c r="AA106" s="49">
        <f>ROUND($P$8*(Table24[[#This Row],[SHL_TAR_IDPs]]*$AA$3+Table24[[#This Row],[SHL_TAR_HC]]*$AA$4+Table24[[#This Row],[SHL_TAR_NDP]]*$AA$5)/$AA$18,0)</f>
        <v>72</v>
      </c>
      <c r="AB106" s="49">
        <f>ROUND($P$8*(Table24[[#This Row],[SHL_TAR_IDPs]]*$AB$3+Table24[[#This Row],[SHL_TAR_HC]]*$AB$4+Table24[[#This Row],[SHL_TAR_NDP]]*$AB$5)/$AB$18,0)</f>
        <v>72</v>
      </c>
      <c r="AC106" s="49">
        <f>ROUND($Q$8*(Table24[[#This Row],[SHL_TAR_IDPs]]*$AC$3+Table24[[#This Row],[SHL_TAR_HC]]*$AC$4+Table24[[#This Row],[SHL_TAR_NDP]]*$AC$5)/$AC$18,0)</f>
        <v>4</v>
      </c>
      <c r="AD106" s="49">
        <f>ROUND($Q$8*(Table24[[#This Row],[SHL_TAR_IDPs]]*$AD$3+Table24[[#This Row],[SHL_TAR_HC]]*$AD$4+Table24[[#This Row],[SHL_TAR_NDP]]*$AD$5)/$AD$18,0)</f>
        <v>4</v>
      </c>
      <c r="AE106" s="49">
        <f>ROUND($Q$8*(Table24[[#This Row],[SHL_TAR_IDPs]]*$AE$3+Table24[[#This Row],[SHL_TAR_HC]]*$AE$4+Table24[[#This Row],[SHL_TAR_NDP]]*$AE$5)/$AE$18,0)</f>
        <v>8</v>
      </c>
      <c r="AF106" s="49">
        <f>ROUND($Q$8*(Table24[[#This Row],[SHL_TAR_IDPs]]*$AF$3+Table24[[#This Row],[SHL_TAR_HC]]*$AF$4+Table24[[#This Row],[SHL_TAR_NDP]]*$AF$5)/$AF$18,0)</f>
        <v>17</v>
      </c>
      <c r="AG106" s="49">
        <f>ROUND($Q$8*(Table24[[#This Row],[SHL_TAR_IDPs]]*$AG$3+Table24[[#This Row],[SHL_TAR_HC]]*$AG$4+Table24[[#This Row],[SHL_TAR_NDP]]*$AG$5)/$AG$18,0)</f>
        <v>40</v>
      </c>
      <c r="AH106" s="49">
        <f>ROUND($Q$8*(Table24[[#This Row],[SHL_TAR_IDPs]]*$AH$3+Table24[[#This Row],[SHL_TAR_HC]]*$AH$4+Table24[[#This Row],[SHL_TAR_NDP]]*$AH$5)/$AH$18,0)</f>
        <v>10</v>
      </c>
      <c r="AI106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</row>
    <row r="107" spans="1:35" x14ac:dyDescent="0.55000000000000004">
      <c r="A107" t="s">
        <v>448</v>
      </c>
      <c r="B107" t="s">
        <v>139</v>
      </c>
      <c r="C107" t="s">
        <v>329</v>
      </c>
      <c r="D107" s="58">
        <f>_xlfn.XLOOKUP($B107, 'Prioritization calculation'!D:D, 'Prioritization calculation'!X:X, "")</f>
        <v>2</v>
      </c>
      <c r="E107" s="58">
        <v>4</v>
      </c>
      <c r="F107" s="58">
        <v>5</v>
      </c>
      <c r="G107" s="58" t="s">
        <v>572</v>
      </c>
      <c r="H107" s="58">
        <v>12550</v>
      </c>
      <c r="I107" s="58">
        <v>31635</v>
      </c>
      <c r="J107" s="58">
        <v>0</v>
      </c>
      <c r="K107" s="58"/>
      <c r="L107" s="58">
        <v>0</v>
      </c>
      <c r="M107" s="58">
        <v>25952</v>
      </c>
      <c r="N107" s="58">
        <v>0</v>
      </c>
      <c r="O107" s="97">
        <f>SUM(Table24[[#This Row],[SHL_PIN_IDPs]:[SHL_PIN_NDP]])</f>
        <v>62915</v>
      </c>
      <c r="P107" s="98">
        <v>47186</v>
      </c>
      <c r="Q107" s="98">
        <v>15729</v>
      </c>
      <c r="R107" s="98">
        <v>0</v>
      </c>
      <c r="S107" s="98">
        <f>ROUND(SUM(Table24[[#This Row],[SHL_TAR_IDPs]:[SHL_TAR_NDP]]),0)</f>
        <v>35862</v>
      </c>
      <c r="T107" s="48">
        <f>SUM(Table24[[#This Row],[HIDE IDP]:[HIDE NDP]])</f>
        <v>35861.599999999999</v>
      </c>
      <c r="U107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28312</v>
      </c>
      <c r="V107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7549.6</v>
      </c>
      <c r="W107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0</v>
      </c>
      <c r="X107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28312</v>
      </c>
      <c r="Y107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7549.6</v>
      </c>
      <c r="Z107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107" s="49">
        <f>ROUND($P$8*(Table24[[#This Row],[SHL_TAR_IDPs]]*$AA$3+Table24[[#This Row],[SHL_TAR_HC]]*$AA$4+Table24[[#This Row],[SHL_TAR_NDP]]*$AA$5)/$AA$18,0)</f>
        <v>3048</v>
      </c>
      <c r="AB107" s="49">
        <f>ROUND($P$8*(Table24[[#This Row],[SHL_TAR_IDPs]]*$AB$3+Table24[[#This Row],[SHL_TAR_HC]]*$AB$4+Table24[[#This Row],[SHL_TAR_NDP]]*$AB$5)/$AB$18,0)</f>
        <v>3048</v>
      </c>
      <c r="AC107" s="49">
        <f>ROUND($Q$8*(Table24[[#This Row],[SHL_TAR_IDPs]]*$AC$3+Table24[[#This Row],[SHL_TAR_HC]]*$AC$4+Table24[[#This Row],[SHL_TAR_NDP]]*$AC$5)/$AC$18,0)</f>
        <v>283</v>
      </c>
      <c r="AD107" s="49">
        <f>ROUND($Q$8*(Table24[[#This Row],[SHL_TAR_IDPs]]*$AD$3+Table24[[#This Row],[SHL_TAR_HC]]*$AD$4+Table24[[#This Row],[SHL_TAR_NDP]]*$AD$5)/$AD$18,0)</f>
        <v>283</v>
      </c>
      <c r="AE107" s="49">
        <f>ROUND($Q$8*(Table24[[#This Row],[SHL_TAR_IDPs]]*$AE$3+Table24[[#This Row],[SHL_TAR_HC]]*$AE$4+Table24[[#This Row],[SHL_TAR_NDP]]*$AE$5)/$AE$18,0)</f>
        <v>359</v>
      </c>
      <c r="AF107" s="49">
        <f>ROUND($Q$8*(Table24[[#This Row],[SHL_TAR_IDPs]]*$AF$3+Table24[[#This Row],[SHL_TAR_HC]]*$AF$4+Table24[[#This Row],[SHL_TAR_NDP]]*$AF$5)/$AF$18,0)</f>
        <v>717</v>
      </c>
      <c r="AG107" s="49">
        <f>ROUND($Q$8*(Table24[[#This Row],[SHL_TAR_IDPs]]*$AG$3+Table24[[#This Row],[SHL_TAR_HC]]*$AG$4+Table24[[#This Row],[SHL_TAR_NDP]]*$AG$5)/$AG$18,0)</f>
        <v>1302</v>
      </c>
      <c r="AH107" s="49">
        <f>ROUND($Q$8*(Table24[[#This Row],[SHL_TAR_IDPs]]*$AH$3+Table24[[#This Row],[SHL_TAR_HC]]*$AH$4+Table24[[#This Row],[SHL_TAR_NDP]]*$AH$5)/$AH$18,0)</f>
        <v>642</v>
      </c>
      <c r="AI107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</row>
    <row r="108" spans="1:35" x14ac:dyDescent="0.55000000000000004">
      <c r="A108" t="s">
        <v>448</v>
      </c>
      <c r="B108" t="s">
        <v>140</v>
      </c>
      <c r="C108" t="s">
        <v>330</v>
      </c>
      <c r="D108" s="58">
        <f>_xlfn.XLOOKUP($B108, 'Prioritization calculation'!D:D, 'Prioritization calculation'!X:X, "")</f>
        <v>3</v>
      </c>
      <c r="E108" s="58">
        <v>4</v>
      </c>
      <c r="F108" s="58">
        <v>3</v>
      </c>
      <c r="G108" s="58" t="s">
        <v>572</v>
      </c>
      <c r="H108" s="58">
        <v>65580</v>
      </c>
      <c r="I108" s="58">
        <v>0</v>
      </c>
      <c r="J108" s="58">
        <v>0</v>
      </c>
      <c r="K108" s="58"/>
      <c r="L108" s="58">
        <v>0</v>
      </c>
      <c r="M108" s="58">
        <v>66789</v>
      </c>
      <c r="N108" s="58">
        <v>45830.952832798648</v>
      </c>
      <c r="O108" s="97">
        <f>SUM(Table24[[#This Row],[SHL_PIN_IDPs]:[SHL_PIN_NDP]])</f>
        <v>72649</v>
      </c>
      <c r="P108" s="98">
        <v>64445</v>
      </c>
      <c r="Q108" s="98">
        <v>1166</v>
      </c>
      <c r="R108" s="98">
        <v>7038</v>
      </c>
      <c r="S108" s="98">
        <f>ROUND(SUM(Table24[[#This Row],[SHL_TAR_IDPs]:[SHL_TAR_NDP]]),0)</f>
        <v>27558</v>
      </c>
      <c r="T108" s="48">
        <f>SUM(Table24[[#This Row],[HIDE IDP]:[HIDE NDP]])</f>
        <v>27558.3</v>
      </c>
      <c r="U108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25778</v>
      </c>
      <c r="V108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372.8</v>
      </c>
      <c r="W108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1407.5</v>
      </c>
      <c r="X108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25778</v>
      </c>
      <c r="Y108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372.8</v>
      </c>
      <c r="Z108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1407.5</v>
      </c>
      <c r="AA108" s="49">
        <f>ROUND($P$8*(Table24[[#This Row],[SHL_TAR_IDPs]]*$AA$3+Table24[[#This Row],[SHL_TAR_HC]]*$AA$4+Table24[[#This Row],[SHL_TAR_NDP]]*$AA$5)/$AA$18,0)</f>
        <v>2342</v>
      </c>
      <c r="AB108" s="49">
        <f>ROUND($P$8*(Table24[[#This Row],[SHL_TAR_IDPs]]*$AB$3+Table24[[#This Row],[SHL_TAR_HC]]*$AB$4+Table24[[#This Row],[SHL_TAR_NDP]]*$AB$5)/$AB$18,0)</f>
        <v>2342</v>
      </c>
      <c r="AC108" s="49">
        <f>ROUND($Q$8*(Table24[[#This Row],[SHL_TAR_IDPs]]*$AC$3+Table24[[#This Row],[SHL_TAR_HC]]*$AC$4+Table24[[#This Row],[SHL_TAR_NDP]]*$AC$5)/$AC$18,0)</f>
        <v>258</v>
      </c>
      <c r="AD108" s="49">
        <f>ROUND($Q$8*(Table24[[#This Row],[SHL_TAR_IDPs]]*$AD$3+Table24[[#This Row],[SHL_TAR_HC]]*$AD$4+Table24[[#This Row],[SHL_TAR_NDP]]*$AD$5)/$AD$18,0)</f>
        <v>258</v>
      </c>
      <c r="AE108" s="49">
        <f>ROUND($Q$8*(Table24[[#This Row],[SHL_TAR_IDPs]]*$AE$3+Table24[[#This Row],[SHL_TAR_HC]]*$AE$4+Table24[[#This Row],[SHL_TAR_NDP]]*$AE$5)/$AE$18,0)</f>
        <v>276</v>
      </c>
      <c r="AF108" s="49">
        <f>ROUND($Q$8*(Table24[[#This Row],[SHL_TAR_IDPs]]*$AF$3+Table24[[#This Row],[SHL_TAR_HC]]*$AF$4+Table24[[#This Row],[SHL_TAR_NDP]]*$AF$5)/$AF$18,0)</f>
        <v>551</v>
      </c>
      <c r="AG108" s="49">
        <f>ROUND($Q$8*(Table24[[#This Row],[SHL_TAR_IDPs]]*$AG$3+Table24[[#This Row],[SHL_TAR_HC]]*$AG$4+Table24[[#This Row],[SHL_TAR_NDP]]*$AG$5)/$AG$18,0)</f>
        <v>894</v>
      </c>
      <c r="AH108" s="49">
        <f>ROUND($Q$8*(Table24[[#This Row],[SHL_TAR_IDPs]]*$AH$3+Table24[[#This Row],[SHL_TAR_HC]]*$AH$4+Table24[[#This Row],[SHL_TAR_NDP]]*$AH$5)/$AH$18,0)</f>
        <v>519</v>
      </c>
      <c r="AI108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</row>
    <row r="109" spans="1:35" x14ac:dyDescent="0.55000000000000004">
      <c r="A109" t="s">
        <v>448</v>
      </c>
      <c r="B109" t="s">
        <v>141</v>
      </c>
      <c r="C109" t="s">
        <v>331</v>
      </c>
      <c r="D109" s="58">
        <f>_xlfn.XLOOKUP($B109, 'Prioritization calculation'!D:D, 'Prioritization calculation'!X:X, "")</f>
        <v>4</v>
      </c>
      <c r="E109" s="58">
        <v>2</v>
      </c>
      <c r="F109" s="58">
        <v>3</v>
      </c>
      <c r="G109" s="58" t="s">
        <v>572</v>
      </c>
      <c r="H109" s="58">
        <v>515</v>
      </c>
      <c r="I109" s="58">
        <v>105</v>
      </c>
      <c r="J109" s="58">
        <v>0</v>
      </c>
      <c r="K109" s="58"/>
      <c r="L109" s="58">
        <v>0</v>
      </c>
      <c r="M109" s="58">
        <v>501</v>
      </c>
      <c r="N109" s="58">
        <v>138.72258064516129</v>
      </c>
      <c r="O109" s="97">
        <f>SUM(Table24[[#This Row],[SHL_PIN_IDPs]:[SHL_PIN_NDP]])</f>
        <v>0</v>
      </c>
      <c r="P109" s="98">
        <v>0</v>
      </c>
      <c r="Q109" s="98">
        <v>0</v>
      </c>
      <c r="R109" s="98">
        <v>0</v>
      </c>
      <c r="S109" s="98">
        <f>ROUND(SUM(Table24[[#This Row],[SHL_TAR_IDPs]:[SHL_TAR_NDP]]),0)</f>
        <v>0</v>
      </c>
      <c r="T109" s="48">
        <f>SUM(Table24[[#This Row],[HIDE IDP]:[HIDE NDP]])</f>
        <v>0</v>
      </c>
      <c r="U109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0</v>
      </c>
      <c r="V109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0</v>
      </c>
      <c r="W109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0</v>
      </c>
      <c r="X109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0</v>
      </c>
      <c r="Y109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0</v>
      </c>
      <c r="Z109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109" s="49">
        <f>ROUND($P$8*(Table24[[#This Row],[SHL_TAR_IDPs]]*$AA$3+Table24[[#This Row],[SHL_TAR_HC]]*$AA$4+Table24[[#This Row],[SHL_TAR_NDP]]*$AA$5)/$AA$18,0)</f>
        <v>0</v>
      </c>
      <c r="AB109" s="49">
        <f>ROUND($P$8*(Table24[[#This Row],[SHL_TAR_IDPs]]*$AB$3+Table24[[#This Row],[SHL_TAR_HC]]*$AB$4+Table24[[#This Row],[SHL_TAR_NDP]]*$AB$5)/$AB$18,0)</f>
        <v>0</v>
      </c>
      <c r="AC109" s="49">
        <f>ROUND($Q$8*(Table24[[#This Row],[SHL_TAR_IDPs]]*$AC$3+Table24[[#This Row],[SHL_TAR_HC]]*$AC$4+Table24[[#This Row],[SHL_TAR_NDP]]*$AC$5)/$AC$18,0)</f>
        <v>0</v>
      </c>
      <c r="AD109" s="49">
        <f>ROUND($Q$8*(Table24[[#This Row],[SHL_TAR_IDPs]]*$AD$3+Table24[[#This Row],[SHL_TAR_HC]]*$AD$4+Table24[[#This Row],[SHL_TAR_NDP]]*$AD$5)/$AD$18,0)</f>
        <v>0</v>
      </c>
      <c r="AE109" s="49">
        <f>ROUND($Q$8*(Table24[[#This Row],[SHL_TAR_IDPs]]*$AE$3+Table24[[#This Row],[SHL_TAR_HC]]*$AE$4+Table24[[#This Row],[SHL_TAR_NDP]]*$AE$5)/$AE$18,0)</f>
        <v>0</v>
      </c>
      <c r="AF109" s="49">
        <f>ROUND($Q$8*(Table24[[#This Row],[SHL_TAR_IDPs]]*$AF$3+Table24[[#This Row],[SHL_TAR_HC]]*$AF$4+Table24[[#This Row],[SHL_TAR_NDP]]*$AF$5)/$AF$18,0)</f>
        <v>0</v>
      </c>
      <c r="AG109" s="49">
        <f>ROUND($Q$8*(Table24[[#This Row],[SHL_TAR_IDPs]]*$AG$3+Table24[[#This Row],[SHL_TAR_HC]]*$AG$4+Table24[[#This Row],[SHL_TAR_NDP]]*$AG$5)/$AG$18,0)</f>
        <v>0</v>
      </c>
      <c r="AH109" s="49">
        <f>ROUND($Q$8*(Table24[[#This Row],[SHL_TAR_IDPs]]*$AH$3+Table24[[#This Row],[SHL_TAR_HC]]*$AH$4+Table24[[#This Row],[SHL_TAR_NDP]]*$AH$5)/$AH$18,0)</f>
        <v>0</v>
      </c>
      <c r="AI109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</row>
    <row r="110" spans="1:35" x14ac:dyDescent="0.55000000000000004">
      <c r="A110" t="s">
        <v>448</v>
      </c>
      <c r="B110" t="s">
        <v>142</v>
      </c>
      <c r="C110" t="s">
        <v>332</v>
      </c>
      <c r="D110" s="58">
        <f>_xlfn.XLOOKUP($B110, 'Prioritization calculation'!D:D, 'Prioritization calculation'!X:X, "")</f>
        <v>4</v>
      </c>
      <c r="E110" s="58">
        <v>2</v>
      </c>
      <c r="F110" s="58">
        <v>4</v>
      </c>
      <c r="G110" s="58" t="s">
        <v>573</v>
      </c>
      <c r="H110" s="58">
        <v>750</v>
      </c>
      <c r="I110" s="58">
        <v>0</v>
      </c>
      <c r="J110" s="58">
        <v>0</v>
      </c>
      <c r="K110" s="58"/>
      <c r="L110" s="58">
        <v>0</v>
      </c>
      <c r="M110" s="58">
        <v>1566</v>
      </c>
      <c r="N110" s="58">
        <v>0</v>
      </c>
      <c r="O110" s="97">
        <f>SUM(Table24[[#This Row],[SHL_PIN_IDPs]:[SHL_PIN_NDP]])</f>
        <v>0</v>
      </c>
      <c r="P110" s="98">
        <v>0</v>
      </c>
      <c r="Q110" s="98">
        <v>0</v>
      </c>
      <c r="R110" s="98">
        <v>0</v>
      </c>
      <c r="S110" s="98">
        <f>ROUND(SUM(Table24[[#This Row],[SHL_TAR_IDPs]:[SHL_TAR_NDP]]),0)</f>
        <v>0</v>
      </c>
      <c r="T110" s="48">
        <f>SUM(Table24[[#This Row],[HIDE IDP]:[HIDE NDP]])</f>
        <v>0</v>
      </c>
      <c r="U110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0</v>
      </c>
      <c r="V110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0</v>
      </c>
      <c r="W110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0</v>
      </c>
      <c r="X110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0</v>
      </c>
      <c r="Y110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0</v>
      </c>
      <c r="Z110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110" s="49">
        <f>ROUND($P$8*(Table24[[#This Row],[SHL_TAR_IDPs]]*$AA$3+Table24[[#This Row],[SHL_TAR_HC]]*$AA$4+Table24[[#This Row],[SHL_TAR_NDP]]*$AA$5)/$AA$18,0)</f>
        <v>0</v>
      </c>
      <c r="AB110" s="49">
        <f>ROUND($P$8*(Table24[[#This Row],[SHL_TAR_IDPs]]*$AB$3+Table24[[#This Row],[SHL_TAR_HC]]*$AB$4+Table24[[#This Row],[SHL_TAR_NDP]]*$AB$5)/$AB$18,0)</f>
        <v>0</v>
      </c>
      <c r="AC110" s="49">
        <f>ROUND($Q$8*(Table24[[#This Row],[SHL_TAR_IDPs]]*$AC$3+Table24[[#This Row],[SHL_TAR_HC]]*$AC$4+Table24[[#This Row],[SHL_TAR_NDP]]*$AC$5)/$AC$18,0)</f>
        <v>0</v>
      </c>
      <c r="AD110" s="49">
        <f>ROUND($Q$8*(Table24[[#This Row],[SHL_TAR_IDPs]]*$AD$3+Table24[[#This Row],[SHL_TAR_HC]]*$AD$4+Table24[[#This Row],[SHL_TAR_NDP]]*$AD$5)/$AD$18,0)</f>
        <v>0</v>
      </c>
      <c r="AE110" s="49">
        <f>ROUND($Q$8*(Table24[[#This Row],[SHL_TAR_IDPs]]*$AE$3+Table24[[#This Row],[SHL_TAR_HC]]*$AE$4+Table24[[#This Row],[SHL_TAR_NDP]]*$AE$5)/$AE$18,0)</f>
        <v>0</v>
      </c>
      <c r="AF110" s="49">
        <f>ROUND($Q$8*(Table24[[#This Row],[SHL_TAR_IDPs]]*$AF$3+Table24[[#This Row],[SHL_TAR_HC]]*$AF$4+Table24[[#This Row],[SHL_TAR_NDP]]*$AF$5)/$AF$18,0)</f>
        <v>0</v>
      </c>
      <c r="AG110" s="49">
        <f>ROUND($Q$8*(Table24[[#This Row],[SHL_TAR_IDPs]]*$AG$3+Table24[[#This Row],[SHL_TAR_HC]]*$AG$4+Table24[[#This Row],[SHL_TAR_NDP]]*$AG$5)/$AG$18,0)</f>
        <v>0</v>
      </c>
      <c r="AH110" s="49">
        <f>ROUND($Q$8*(Table24[[#This Row],[SHL_TAR_IDPs]]*$AH$3+Table24[[#This Row],[SHL_TAR_HC]]*$AH$4+Table24[[#This Row],[SHL_TAR_NDP]]*$AH$5)/$AH$18,0)</f>
        <v>0</v>
      </c>
      <c r="AI110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</row>
    <row r="111" spans="1:35" x14ac:dyDescent="0.55000000000000004">
      <c r="A111" t="s">
        <v>449</v>
      </c>
      <c r="B111" t="s">
        <v>143</v>
      </c>
      <c r="C111" t="s">
        <v>333</v>
      </c>
      <c r="D111" s="58">
        <f>_xlfn.XLOOKUP($B111, 'Prioritization calculation'!D:D, 'Prioritization calculation'!X:X, "")</f>
        <v>3</v>
      </c>
      <c r="E111" s="58">
        <v>3</v>
      </c>
      <c r="F111" s="58">
        <v>3</v>
      </c>
      <c r="G111" s="58" t="s">
        <v>521</v>
      </c>
      <c r="H111" s="98">
        <v>23059</v>
      </c>
      <c r="I111" s="58">
        <v>0</v>
      </c>
      <c r="J111" s="58">
        <v>0</v>
      </c>
      <c r="K111" s="58"/>
      <c r="L111" s="58">
        <v>0</v>
      </c>
      <c r="M111" s="58">
        <v>17919</v>
      </c>
      <c r="N111" s="58">
        <v>0</v>
      </c>
      <c r="O111" s="97">
        <f>SUM(Table24[[#This Row],[SHL_PIN_IDPs]:[SHL_PIN_NDP]])</f>
        <v>22727</v>
      </c>
      <c r="P111" s="98">
        <v>12236</v>
      </c>
      <c r="Q111" s="98">
        <v>6358</v>
      </c>
      <c r="R111" s="98">
        <v>4133</v>
      </c>
      <c r="S111" s="98">
        <f>ROUND(SUM(Table24[[#This Row],[SHL_TAR_IDPs]:[SHL_TAR_NDP]]),0)</f>
        <v>3878</v>
      </c>
      <c r="T111" s="48">
        <f>SUM(Table24[[#This Row],[HIDE IDP]:[HIDE NDP]])</f>
        <v>3878.1</v>
      </c>
      <c r="U111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2447</v>
      </c>
      <c r="V111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1017.6</v>
      </c>
      <c r="W111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413.5</v>
      </c>
      <c r="X111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2447</v>
      </c>
      <c r="Y111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1017.6</v>
      </c>
      <c r="Z111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413.5</v>
      </c>
      <c r="AA111" s="49">
        <f>ROUND($P$8*(Table24[[#This Row],[SHL_TAR_IDPs]]*$AA$3+Table24[[#This Row],[SHL_TAR_HC]]*$AA$4+Table24[[#This Row],[SHL_TAR_NDP]]*$AA$5)/$AA$18,0)</f>
        <v>330</v>
      </c>
      <c r="AB111" s="49">
        <f>ROUND($P$8*(Table24[[#This Row],[SHL_TAR_IDPs]]*$AB$3+Table24[[#This Row],[SHL_TAR_HC]]*$AB$4+Table24[[#This Row],[SHL_TAR_NDP]]*$AB$5)/$AB$18,0)</f>
        <v>330</v>
      </c>
      <c r="AC111" s="49">
        <f>ROUND($Q$8*(Table24[[#This Row],[SHL_TAR_IDPs]]*$AC$3+Table24[[#This Row],[SHL_TAR_HC]]*$AC$4+Table24[[#This Row],[SHL_TAR_NDP]]*$AC$5)/$AC$18,0)</f>
        <v>24</v>
      </c>
      <c r="AD111" s="49">
        <f>ROUND($Q$8*(Table24[[#This Row],[SHL_TAR_IDPs]]*$AD$3+Table24[[#This Row],[SHL_TAR_HC]]*$AD$4+Table24[[#This Row],[SHL_TAR_NDP]]*$AD$5)/$AD$18,0)</f>
        <v>24</v>
      </c>
      <c r="AE111" s="49">
        <f>ROUND($Q$8*(Table24[[#This Row],[SHL_TAR_IDPs]]*$AE$3+Table24[[#This Row],[SHL_TAR_HC]]*$AE$4+Table24[[#This Row],[SHL_TAR_NDP]]*$AE$5)/$AE$18,0)</f>
        <v>39</v>
      </c>
      <c r="AF111" s="49">
        <f>ROUND($Q$8*(Table24[[#This Row],[SHL_TAR_IDPs]]*$AF$3+Table24[[#This Row],[SHL_TAR_HC]]*$AF$4+Table24[[#This Row],[SHL_TAR_NDP]]*$AF$5)/$AF$18,0)</f>
        <v>78</v>
      </c>
      <c r="AG111" s="49">
        <f>ROUND($Q$8*(Table24[[#This Row],[SHL_TAR_IDPs]]*$AG$3+Table24[[#This Row],[SHL_TAR_HC]]*$AG$4+Table24[[#This Row],[SHL_TAR_NDP]]*$AG$5)/$AG$18,0)</f>
        <v>163</v>
      </c>
      <c r="AH111" s="49">
        <f>ROUND($Q$8*(Table24[[#This Row],[SHL_TAR_IDPs]]*$AH$3+Table24[[#This Row],[SHL_TAR_HC]]*$AH$4+Table24[[#This Row],[SHL_TAR_NDP]]*$AH$5)/$AH$18,0)</f>
        <v>59</v>
      </c>
      <c r="AI111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</row>
    <row r="112" spans="1:35" x14ac:dyDescent="0.55000000000000004">
      <c r="A112" t="s">
        <v>449</v>
      </c>
      <c r="B112" t="s">
        <v>144</v>
      </c>
      <c r="C112" t="s">
        <v>334</v>
      </c>
      <c r="D112" s="58">
        <f>_xlfn.XLOOKUP($B112, 'Prioritization calculation'!D:D, 'Prioritization calculation'!X:X, "")</f>
        <v>4</v>
      </c>
      <c r="E112" s="58">
        <v>2</v>
      </c>
      <c r="F112" s="58">
        <v>3</v>
      </c>
      <c r="G112" s="58" t="s">
        <v>572</v>
      </c>
      <c r="H112" s="58">
        <v>7868</v>
      </c>
      <c r="I112" s="58">
        <v>0</v>
      </c>
      <c r="J112" s="58">
        <v>0</v>
      </c>
      <c r="K112" s="58"/>
      <c r="L112" s="58">
        <v>0</v>
      </c>
      <c r="M112" s="58">
        <v>1689</v>
      </c>
      <c r="N112" s="58">
        <v>72.442728442728438</v>
      </c>
      <c r="O112" s="97">
        <f>SUM(Table24[[#This Row],[SHL_PIN_IDPs]:[SHL_PIN_NDP]])</f>
        <v>0</v>
      </c>
      <c r="P112" s="98">
        <v>0</v>
      </c>
      <c r="Q112" s="98">
        <v>0</v>
      </c>
      <c r="R112" s="98">
        <v>0</v>
      </c>
      <c r="S112" s="98">
        <f>ROUND(SUM(Table24[[#This Row],[SHL_TAR_IDPs]:[SHL_TAR_NDP]]),0)</f>
        <v>0</v>
      </c>
      <c r="T112" s="48">
        <f>SUM(Table24[[#This Row],[HIDE IDP]:[HIDE NDP]])</f>
        <v>0</v>
      </c>
      <c r="U112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0</v>
      </c>
      <c r="V112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0</v>
      </c>
      <c r="W112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0</v>
      </c>
      <c r="X112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0</v>
      </c>
      <c r="Y112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0</v>
      </c>
      <c r="Z112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112" s="49">
        <f>ROUND($P$8*(Table24[[#This Row],[SHL_TAR_IDPs]]*$AA$3+Table24[[#This Row],[SHL_TAR_HC]]*$AA$4+Table24[[#This Row],[SHL_TAR_NDP]]*$AA$5)/$AA$18,0)</f>
        <v>0</v>
      </c>
      <c r="AB112" s="49">
        <f>ROUND($P$8*(Table24[[#This Row],[SHL_TAR_IDPs]]*$AB$3+Table24[[#This Row],[SHL_TAR_HC]]*$AB$4+Table24[[#This Row],[SHL_TAR_NDP]]*$AB$5)/$AB$18,0)</f>
        <v>0</v>
      </c>
      <c r="AC112" s="49">
        <f>ROUND($Q$8*(Table24[[#This Row],[SHL_TAR_IDPs]]*$AC$3+Table24[[#This Row],[SHL_TAR_HC]]*$AC$4+Table24[[#This Row],[SHL_TAR_NDP]]*$AC$5)/$AC$18,0)</f>
        <v>0</v>
      </c>
      <c r="AD112" s="49">
        <f>ROUND($Q$8*(Table24[[#This Row],[SHL_TAR_IDPs]]*$AD$3+Table24[[#This Row],[SHL_TAR_HC]]*$AD$4+Table24[[#This Row],[SHL_TAR_NDP]]*$AD$5)/$AD$18,0)</f>
        <v>0</v>
      </c>
      <c r="AE112" s="49">
        <f>ROUND($Q$8*(Table24[[#This Row],[SHL_TAR_IDPs]]*$AE$3+Table24[[#This Row],[SHL_TAR_HC]]*$AE$4+Table24[[#This Row],[SHL_TAR_NDP]]*$AE$5)/$AE$18,0)</f>
        <v>0</v>
      </c>
      <c r="AF112" s="49">
        <f>ROUND($Q$8*(Table24[[#This Row],[SHL_TAR_IDPs]]*$AF$3+Table24[[#This Row],[SHL_TAR_HC]]*$AF$4+Table24[[#This Row],[SHL_TAR_NDP]]*$AF$5)/$AF$18,0)</f>
        <v>0</v>
      </c>
      <c r="AG112" s="49">
        <f>ROUND($Q$8*(Table24[[#This Row],[SHL_TAR_IDPs]]*$AG$3+Table24[[#This Row],[SHL_TAR_HC]]*$AG$4+Table24[[#This Row],[SHL_TAR_NDP]]*$AG$5)/$AG$18,0)</f>
        <v>0</v>
      </c>
      <c r="AH112" s="49">
        <f>ROUND($Q$8*(Table24[[#This Row],[SHL_TAR_IDPs]]*$AH$3+Table24[[#This Row],[SHL_TAR_HC]]*$AH$4+Table24[[#This Row],[SHL_TAR_NDP]]*$AH$5)/$AH$18,0)</f>
        <v>0</v>
      </c>
      <c r="AI112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</row>
    <row r="113" spans="1:35" x14ac:dyDescent="0.55000000000000004">
      <c r="A113" t="s">
        <v>449</v>
      </c>
      <c r="B113" t="s">
        <v>145</v>
      </c>
      <c r="C113" t="s">
        <v>335</v>
      </c>
      <c r="D113" s="58">
        <f>_xlfn.XLOOKUP($B113, 'Prioritization calculation'!D:D, 'Prioritization calculation'!X:X, "")</f>
        <v>5</v>
      </c>
      <c r="E113" s="58">
        <v>3</v>
      </c>
      <c r="F113" s="58">
        <v>3</v>
      </c>
      <c r="G113" s="58" t="s">
        <v>572</v>
      </c>
      <c r="H113" s="58">
        <v>3450</v>
      </c>
      <c r="I113" s="58">
        <v>0</v>
      </c>
      <c r="J113" s="58">
        <v>0</v>
      </c>
      <c r="K113" s="58"/>
      <c r="L113" s="58">
        <v>0</v>
      </c>
      <c r="M113" s="58">
        <v>1476</v>
      </c>
      <c r="N113" s="58">
        <v>0</v>
      </c>
      <c r="O113" s="97">
        <f>SUM(Table24[[#This Row],[SHL_PIN_IDPs]:[SHL_PIN_NDP]])</f>
        <v>22479</v>
      </c>
      <c r="P113" s="98">
        <v>0</v>
      </c>
      <c r="Q113" s="98">
        <v>704</v>
      </c>
      <c r="R113" s="98">
        <v>21775</v>
      </c>
      <c r="S113" s="98">
        <f>ROUND(SUM(Table24[[#This Row],[SHL_TAR_IDPs]:[SHL_TAR_NDP]]),0)</f>
        <v>0</v>
      </c>
      <c r="T113" s="48">
        <f>SUM(Table24[[#This Row],[HIDE IDP]:[HIDE NDP]])</f>
        <v>572.5</v>
      </c>
      <c r="U113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0</v>
      </c>
      <c r="V113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28</v>
      </c>
      <c r="W113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544.5</v>
      </c>
      <c r="X113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0</v>
      </c>
      <c r="Y113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0</v>
      </c>
      <c r="Z113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113" s="49">
        <f>ROUND($P$8*(Table24[[#This Row],[SHL_TAR_IDPs]]*$AA$3+Table24[[#This Row],[SHL_TAR_HC]]*$AA$4+Table24[[#This Row],[SHL_TAR_NDP]]*$AA$5)/$AA$18,0)</f>
        <v>0</v>
      </c>
      <c r="AB113" s="49">
        <f>ROUND($P$8*(Table24[[#This Row],[SHL_TAR_IDPs]]*$AB$3+Table24[[#This Row],[SHL_TAR_HC]]*$AB$4+Table24[[#This Row],[SHL_TAR_NDP]]*$AB$5)/$AB$18,0)</f>
        <v>0</v>
      </c>
      <c r="AC113" s="49">
        <f>ROUND($Q$8*(Table24[[#This Row],[SHL_TAR_IDPs]]*$AC$3+Table24[[#This Row],[SHL_TAR_HC]]*$AC$4+Table24[[#This Row],[SHL_TAR_NDP]]*$AC$5)/$AC$18,0)</f>
        <v>0</v>
      </c>
      <c r="AD113" s="49">
        <f>ROUND($Q$8*(Table24[[#This Row],[SHL_TAR_IDPs]]*$AD$3+Table24[[#This Row],[SHL_TAR_HC]]*$AD$4+Table24[[#This Row],[SHL_TAR_NDP]]*$AD$5)/$AD$18,0)</f>
        <v>0</v>
      </c>
      <c r="AE113" s="49">
        <f>ROUND($Q$8*(Table24[[#This Row],[SHL_TAR_IDPs]]*$AE$3+Table24[[#This Row],[SHL_TAR_HC]]*$AE$4+Table24[[#This Row],[SHL_TAR_NDP]]*$AE$5)/$AE$18,0)</f>
        <v>0</v>
      </c>
      <c r="AF113" s="49">
        <f>ROUND($Q$8*(Table24[[#This Row],[SHL_TAR_IDPs]]*$AF$3+Table24[[#This Row],[SHL_TAR_HC]]*$AF$4+Table24[[#This Row],[SHL_TAR_NDP]]*$AF$5)/$AF$18,0)</f>
        <v>0</v>
      </c>
      <c r="AG113" s="49">
        <f>ROUND($Q$8*(Table24[[#This Row],[SHL_TAR_IDPs]]*$AG$3+Table24[[#This Row],[SHL_TAR_HC]]*$AG$4+Table24[[#This Row],[SHL_TAR_NDP]]*$AG$5)/$AG$18,0)</f>
        <v>0</v>
      </c>
      <c r="AH113" s="49">
        <f>ROUND($Q$8*(Table24[[#This Row],[SHL_TAR_IDPs]]*$AH$3+Table24[[#This Row],[SHL_TAR_HC]]*$AH$4+Table24[[#This Row],[SHL_TAR_NDP]]*$AH$5)/$AH$18,0)</f>
        <v>0</v>
      </c>
      <c r="AI113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</row>
    <row r="114" spans="1:35" x14ac:dyDescent="0.55000000000000004">
      <c r="A114" t="s">
        <v>449</v>
      </c>
      <c r="B114" t="s">
        <v>146</v>
      </c>
      <c r="C114" t="s">
        <v>336</v>
      </c>
      <c r="D114" s="58">
        <f>_xlfn.XLOOKUP($B114, 'Prioritization calculation'!D:D, 'Prioritization calculation'!X:X, "")</f>
        <v>5</v>
      </c>
      <c r="E114" s="58">
        <v>3</v>
      </c>
      <c r="F114" s="58">
        <v>5</v>
      </c>
      <c r="G114" s="58" t="s">
        <v>572</v>
      </c>
      <c r="H114" s="58">
        <v>5636</v>
      </c>
      <c r="I114" s="58">
        <v>0</v>
      </c>
      <c r="J114" s="58">
        <v>0</v>
      </c>
      <c r="K114" s="58"/>
      <c r="L114" s="58">
        <v>1305</v>
      </c>
      <c r="M114" s="58">
        <v>1440</v>
      </c>
      <c r="N114" s="58">
        <v>1081.1304730086163</v>
      </c>
      <c r="O114" s="97">
        <f>SUM(Table24[[#This Row],[SHL_PIN_IDPs]:[SHL_PIN_NDP]])</f>
        <v>19821</v>
      </c>
      <c r="P114" s="98">
        <v>2245</v>
      </c>
      <c r="Q114" s="98">
        <v>1123</v>
      </c>
      <c r="R114" s="98">
        <v>16453</v>
      </c>
      <c r="S114" s="98">
        <f>ROUND(SUM(Table24[[#This Row],[SHL_TAR_IDPs]:[SHL_TAR_NDP]]),0)</f>
        <v>4800</v>
      </c>
      <c r="T114" s="100">
        <f>SUM(Table24[[#This Row],[HIDE IDP]:[HIDE NDP]])</f>
        <v>568.29999999999995</v>
      </c>
      <c r="U114" s="100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112</v>
      </c>
      <c r="V114" s="100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44.800000000000004</v>
      </c>
      <c r="W114" s="100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411.5</v>
      </c>
      <c r="X114" s="98">
        <v>2000</v>
      </c>
      <c r="Y114" s="98">
        <v>1000</v>
      </c>
      <c r="Z114" s="98">
        <v>1800</v>
      </c>
      <c r="AA114" s="49">
        <f>ROUND($P$8*(Table24[[#This Row],[SHL_TAR_IDPs]]*$AA$3+Table24[[#This Row],[SHL_TAR_HC]]*$AA$4+Table24[[#This Row],[SHL_TAR_NDP]]*$AA$5)/$AA$18,0)</f>
        <v>408</v>
      </c>
      <c r="AB114" s="49">
        <f>ROUND($P$8*(Table24[[#This Row],[SHL_TAR_IDPs]]*$AB$3+Table24[[#This Row],[SHL_TAR_HC]]*$AB$4+Table24[[#This Row],[SHL_TAR_NDP]]*$AB$5)/$AB$18,0)</f>
        <v>408</v>
      </c>
      <c r="AC114" s="49">
        <f>ROUND($Q$8*(Table24[[#This Row],[SHL_TAR_IDPs]]*$AC$3+Table24[[#This Row],[SHL_TAR_HC]]*$AC$4+Table24[[#This Row],[SHL_TAR_NDP]]*$AC$5)/$AC$18,0)</f>
        <v>20</v>
      </c>
      <c r="AD114" s="49">
        <f>ROUND($Q$8*(Table24[[#This Row],[SHL_TAR_IDPs]]*$AD$3+Table24[[#This Row],[SHL_TAR_HC]]*$AD$4+Table24[[#This Row],[SHL_TAR_NDP]]*$AD$5)/$AD$18,0)</f>
        <v>20</v>
      </c>
      <c r="AE114" s="49">
        <f>ROUND($Q$8*(Table24[[#This Row],[SHL_TAR_IDPs]]*$AE$3+Table24[[#This Row],[SHL_TAR_HC]]*$AE$4+Table24[[#This Row],[SHL_TAR_NDP]]*$AE$5)/$AE$18,0)</f>
        <v>48</v>
      </c>
      <c r="AF114" s="49">
        <f>ROUND($Q$8*(Table24[[#This Row],[SHL_TAR_IDPs]]*$AF$3+Table24[[#This Row],[SHL_TAR_HC]]*$AF$4+Table24[[#This Row],[SHL_TAR_NDP]]*$AF$5)/$AF$18,0)</f>
        <v>96</v>
      </c>
      <c r="AG114" s="49">
        <f>ROUND($Q$8*(Table24[[#This Row],[SHL_TAR_IDPs]]*$AG$3+Table24[[#This Row],[SHL_TAR_HC]]*$AG$4+Table24[[#This Row],[SHL_TAR_NDP]]*$AG$5)/$AG$18,0)</f>
        <v>246</v>
      </c>
      <c r="AH114" s="49">
        <f>ROUND($Q$8*(Table24[[#This Row],[SHL_TAR_IDPs]]*$AH$3+Table24[[#This Row],[SHL_TAR_HC]]*$AH$4+Table24[[#This Row],[SHL_TAR_NDP]]*$AH$5)/$AH$18,0)</f>
        <v>50</v>
      </c>
      <c r="AI114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</row>
    <row r="115" spans="1:35" x14ac:dyDescent="0.55000000000000004">
      <c r="A115" t="s">
        <v>449</v>
      </c>
      <c r="B115" t="s">
        <v>147</v>
      </c>
      <c r="C115" t="s">
        <v>337</v>
      </c>
      <c r="D115" s="58">
        <f>_xlfn.XLOOKUP($B115, 'Prioritization calculation'!D:D, 'Prioritization calculation'!X:X, "")</f>
        <v>4</v>
      </c>
      <c r="E115" s="58">
        <v>5</v>
      </c>
      <c r="F115" s="58">
        <v>3</v>
      </c>
      <c r="G115" s="58" t="s">
        <v>572</v>
      </c>
      <c r="H115" s="58">
        <v>13068</v>
      </c>
      <c r="I115" s="58">
        <v>2360</v>
      </c>
      <c r="J115" s="58">
        <v>2350</v>
      </c>
      <c r="K115" s="58"/>
      <c r="L115" s="58">
        <v>2500</v>
      </c>
      <c r="M115" s="58">
        <v>16823</v>
      </c>
      <c r="N115" s="58">
        <v>0</v>
      </c>
      <c r="O115" s="97">
        <f>SUM(Table24[[#This Row],[SHL_PIN_IDPs]:[SHL_PIN_NDP]])</f>
        <v>118295</v>
      </c>
      <c r="P115" s="98">
        <v>17039</v>
      </c>
      <c r="Q115" s="98">
        <v>6146</v>
      </c>
      <c r="R115" s="98">
        <v>95110</v>
      </c>
      <c r="S115" s="98">
        <f>ROUND(SUM(Table24[[#This Row],[SHL_TAR_IDPs]:[SHL_TAR_NDP]]),0)</f>
        <v>27804</v>
      </c>
      <c r="T115" s="48">
        <f>SUM(Table24[[#This Row],[HIDE IDP]:[HIDE NDP]])</f>
        <v>27804.400000000001</v>
      </c>
      <c r="U115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6816</v>
      </c>
      <c r="V115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1966.4</v>
      </c>
      <c r="W115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19022</v>
      </c>
      <c r="X115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6816</v>
      </c>
      <c r="Y115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1966.4</v>
      </c>
      <c r="Z115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19022</v>
      </c>
      <c r="AA115" s="49">
        <f>ROUND($P$8*(Table24[[#This Row],[SHL_TAR_IDPs]]*$AA$3+Table24[[#This Row],[SHL_TAR_HC]]*$AA$4+Table24[[#This Row],[SHL_TAR_NDP]]*$AA$5)/$AA$18,0)</f>
        <v>2363</v>
      </c>
      <c r="AB115" s="49">
        <f>ROUND($P$8*(Table24[[#This Row],[SHL_TAR_IDPs]]*$AB$3+Table24[[#This Row],[SHL_TAR_HC]]*$AB$4+Table24[[#This Row],[SHL_TAR_NDP]]*$AB$5)/$AB$18,0)</f>
        <v>2363</v>
      </c>
      <c r="AC115" s="49">
        <f>ROUND($Q$8*(Table24[[#This Row],[SHL_TAR_IDPs]]*$AC$3+Table24[[#This Row],[SHL_TAR_HC]]*$AC$4+Table24[[#This Row],[SHL_TAR_NDP]]*$AC$5)/$AC$18,0)</f>
        <v>68</v>
      </c>
      <c r="AD115" s="49">
        <f>ROUND($Q$8*(Table24[[#This Row],[SHL_TAR_IDPs]]*$AD$3+Table24[[#This Row],[SHL_TAR_HC]]*$AD$4+Table24[[#This Row],[SHL_TAR_NDP]]*$AD$5)/$AD$18,0)</f>
        <v>68</v>
      </c>
      <c r="AE115" s="49">
        <f>ROUND($Q$8*(Table24[[#This Row],[SHL_TAR_IDPs]]*$AE$3+Table24[[#This Row],[SHL_TAR_HC]]*$AE$4+Table24[[#This Row],[SHL_TAR_NDP]]*$AE$5)/$AE$18,0)</f>
        <v>278</v>
      </c>
      <c r="AF115" s="49">
        <f>ROUND($Q$8*(Table24[[#This Row],[SHL_TAR_IDPs]]*$AF$3+Table24[[#This Row],[SHL_TAR_HC]]*$AF$4+Table24[[#This Row],[SHL_TAR_NDP]]*$AF$5)/$AF$18,0)</f>
        <v>556</v>
      </c>
      <c r="AG115" s="49">
        <f>ROUND($Q$8*(Table24[[#This Row],[SHL_TAR_IDPs]]*$AG$3+Table24[[#This Row],[SHL_TAR_HC]]*$AG$4+Table24[[#This Row],[SHL_TAR_NDP]]*$AG$5)/$AG$18,0)</f>
        <v>1654</v>
      </c>
      <c r="AH115" s="49">
        <f>ROUND($Q$8*(Table24[[#This Row],[SHL_TAR_IDPs]]*$AH$3+Table24[[#This Row],[SHL_TAR_HC]]*$AH$4+Table24[[#This Row],[SHL_TAR_NDP]]*$AH$5)/$AH$18,0)</f>
        <v>156</v>
      </c>
      <c r="AI115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</row>
    <row r="116" spans="1:35" x14ac:dyDescent="0.55000000000000004">
      <c r="A116" t="s">
        <v>449</v>
      </c>
      <c r="B116" t="s">
        <v>148</v>
      </c>
      <c r="C116" t="s">
        <v>338</v>
      </c>
      <c r="D116" s="58">
        <f>_xlfn.XLOOKUP($B116, 'Prioritization calculation'!D:D, 'Prioritization calculation'!X:X, "")</f>
        <v>5</v>
      </c>
      <c r="E116" s="58">
        <v>3</v>
      </c>
      <c r="F116" s="58">
        <v>3</v>
      </c>
      <c r="G116" s="58" t="s">
        <v>572</v>
      </c>
      <c r="H116" s="58">
        <v>2250</v>
      </c>
      <c r="I116" s="58">
        <v>0</v>
      </c>
      <c r="J116" s="58">
        <v>0</v>
      </c>
      <c r="K116" s="58"/>
      <c r="L116" s="58">
        <v>0</v>
      </c>
      <c r="M116" s="58">
        <v>1825</v>
      </c>
      <c r="N116" s="58">
        <v>0</v>
      </c>
      <c r="O116" s="97">
        <f>SUM(Table24[[#This Row],[SHL_PIN_IDPs]:[SHL_PIN_NDP]])</f>
        <v>30695</v>
      </c>
      <c r="P116" s="98">
        <v>1452</v>
      </c>
      <c r="Q116" s="98">
        <v>726</v>
      </c>
      <c r="R116" s="98">
        <v>28517</v>
      </c>
      <c r="S116" s="98">
        <f>ROUND(SUM(Table24[[#This Row],[SHL_TAR_IDPs]:[SHL_TAR_NDP]]),0)</f>
        <v>0</v>
      </c>
      <c r="T116" s="48">
        <f>SUM(Table24[[#This Row],[HIDE IDP]:[HIDE NDP]])</f>
        <v>814.8</v>
      </c>
      <c r="U116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73</v>
      </c>
      <c r="V116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28.8</v>
      </c>
      <c r="W116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713</v>
      </c>
      <c r="X116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0</v>
      </c>
      <c r="Y116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0</v>
      </c>
      <c r="Z116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116" s="49">
        <f>ROUND($P$8*(Table24[[#This Row],[SHL_TAR_IDPs]]*$AA$3+Table24[[#This Row],[SHL_TAR_HC]]*$AA$4+Table24[[#This Row],[SHL_TAR_NDP]]*$AA$5)/$AA$18,0)</f>
        <v>0</v>
      </c>
      <c r="AB116" s="49">
        <f>ROUND($P$8*(Table24[[#This Row],[SHL_TAR_IDPs]]*$AB$3+Table24[[#This Row],[SHL_TAR_HC]]*$AB$4+Table24[[#This Row],[SHL_TAR_NDP]]*$AB$5)/$AB$18,0)</f>
        <v>0</v>
      </c>
      <c r="AC116" s="49">
        <f>ROUND($Q$8*(Table24[[#This Row],[SHL_TAR_IDPs]]*$AC$3+Table24[[#This Row],[SHL_TAR_HC]]*$AC$4+Table24[[#This Row],[SHL_TAR_NDP]]*$AC$5)/$AC$18,0)</f>
        <v>0</v>
      </c>
      <c r="AD116" s="49">
        <f>ROUND($Q$8*(Table24[[#This Row],[SHL_TAR_IDPs]]*$AD$3+Table24[[#This Row],[SHL_TAR_HC]]*$AD$4+Table24[[#This Row],[SHL_TAR_NDP]]*$AD$5)/$AD$18,0)</f>
        <v>0</v>
      </c>
      <c r="AE116" s="49">
        <f>ROUND($Q$8*(Table24[[#This Row],[SHL_TAR_IDPs]]*$AE$3+Table24[[#This Row],[SHL_TAR_HC]]*$AE$4+Table24[[#This Row],[SHL_TAR_NDP]]*$AE$5)/$AE$18,0)</f>
        <v>0</v>
      </c>
      <c r="AF116" s="49">
        <f>ROUND($Q$8*(Table24[[#This Row],[SHL_TAR_IDPs]]*$AF$3+Table24[[#This Row],[SHL_TAR_HC]]*$AF$4+Table24[[#This Row],[SHL_TAR_NDP]]*$AF$5)/$AF$18,0)</f>
        <v>0</v>
      </c>
      <c r="AG116" s="49">
        <f>ROUND($Q$8*(Table24[[#This Row],[SHL_TAR_IDPs]]*$AG$3+Table24[[#This Row],[SHL_TAR_HC]]*$AG$4+Table24[[#This Row],[SHL_TAR_NDP]]*$AG$5)/$AG$18,0)</f>
        <v>0</v>
      </c>
      <c r="AH116" s="49">
        <f>ROUND($Q$8*(Table24[[#This Row],[SHL_TAR_IDPs]]*$AH$3+Table24[[#This Row],[SHL_TAR_HC]]*$AH$4+Table24[[#This Row],[SHL_TAR_NDP]]*$AH$5)/$AH$18,0)</f>
        <v>0</v>
      </c>
      <c r="AI116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</row>
    <row r="117" spans="1:35" x14ac:dyDescent="0.55000000000000004">
      <c r="A117" t="s">
        <v>449</v>
      </c>
      <c r="B117" t="s">
        <v>149</v>
      </c>
      <c r="C117" t="s">
        <v>339</v>
      </c>
      <c r="D117" s="58">
        <f>_xlfn.XLOOKUP($B117, 'Prioritization calculation'!D:D, 'Prioritization calculation'!X:X, "")</f>
        <v>4</v>
      </c>
      <c r="E117" s="58">
        <v>2</v>
      </c>
      <c r="F117" s="58">
        <v>5</v>
      </c>
      <c r="G117" s="58" t="s">
        <v>572</v>
      </c>
      <c r="H117" s="58">
        <v>7955</v>
      </c>
      <c r="I117" s="58">
        <v>0</v>
      </c>
      <c r="J117" s="58">
        <v>0</v>
      </c>
      <c r="K117" s="58"/>
      <c r="L117" s="58">
        <v>16500</v>
      </c>
      <c r="M117" s="58">
        <v>1303</v>
      </c>
      <c r="N117" s="58">
        <v>0</v>
      </c>
      <c r="O117" s="97">
        <f>SUM(Table24[[#This Row],[SHL_PIN_IDPs]:[SHL_PIN_NDP]])</f>
        <v>0</v>
      </c>
      <c r="P117" s="98">
        <v>0</v>
      </c>
      <c r="Q117" s="98">
        <v>0</v>
      </c>
      <c r="R117" s="98">
        <v>0</v>
      </c>
      <c r="S117" s="98">
        <f>ROUND(SUM(Table24[[#This Row],[SHL_TAR_IDPs]:[SHL_TAR_NDP]]),0)</f>
        <v>0</v>
      </c>
      <c r="T117" s="48">
        <f>SUM(Table24[[#This Row],[HIDE IDP]:[HIDE NDP]])</f>
        <v>0</v>
      </c>
      <c r="U117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0</v>
      </c>
      <c r="V117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0</v>
      </c>
      <c r="W117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0</v>
      </c>
      <c r="X117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0</v>
      </c>
      <c r="Y117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0</v>
      </c>
      <c r="Z117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117" s="49">
        <f>ROUND($P$8*(Table24[[#This Row],[SHL_TAR_IDPs]]*$AA$3+Table24[[#This Row],[SHL_TAR_HC]]*$AA$4+Table24[[#This Row],[SHL_TAR_NDP]]*$AA$5)/$AA$18,0)</f>
        <v>0</v>
      </c>
      <c r="AB117" s="49">
        <f>ROUND($P$8*(Table24[[#This Row],[SHL_TAR_IDPs]]*$AB$3+Table24[[#This Row],[SHL_TAR_HC]]*$AB$4+Table24[[#This Row],[SHL_TAR_NDP]]*$AB$5)/$AB$18,0)</f>
        <v>0</v>
      </c>
      <c r="AC117" s="49">
        <f>ROUND($Q$8*(Table24[[#This Row],[SHL_TAR_IDPs]]*$AC$3+Table24[[#This Row],[SHL_TAR_HC]]*$AC$4+Table24[[#This Row],[SHL_TAR_NDP]]*$AC$5)/$AC$18,0)</f>
        <v>0</v>
      </c>
      <c r="AD117" s="49">
        <f>ROUND($Q$8*(Table24[[#This Row],[SHL_TAR_IDPs]]*$AD$3+Table24[[#This Row],[SHL_TAR_HC]]*$AD$4+Table24[[#This Row],[SHL_TAR_NDP]]*$AD$5)/$AD$18,0)</f>
        <v>0</v>
      </c>
      <c r="AE117" s="49">
        <f>ROUND($Q$8*(Table24[[#This Row],[SHL_TAR_IDPs]]*$AE$3+Table24[[#This Row],[SHL_TAR_HC]]*$AE$4+Table24[[#This Row],[SHL_TAR_NDP]]*$AE$5)/$AE$18,0)</f>
        <v>0</v>
      </c>
      <c r="AF117" s="49">
        <f>ROUND($Q$8*(Table24[[#This Row],[SHL_TAR_IDPs]]*$AF$3+Table24[[#This Row],[SHL_TAR_HC]]*$AF$4+Table24[[#This Row],[SHL_TAR_NDP]]*$AF$5)/$AF$18,0)</f>
        <v>0</v>
      </c>
      <c r="AG117" s="49">
        <f>ROUND($Q$8*(Table24[[#This Row],[SHL_TAR_IDPs]]*$AG$3+Table24[[#This Row],[SHL_TAR_HC]]*$AG$4+Table24[[#This Row],[SHL_TAR_NDP]]*$AG$5)/$AG$18,0)</f>
        <v>0</v>
      </c>
      <c r="AH117" s="49">
        <f>ROUND($Q$8*(Table24[[#This Row],[SHL_TAR_IDPs]]*$AH$3+Table24[[#This Row],[SHL_TAR_HC]]*$AH$4+Table24[[#This Row],[SHL_TAR_NDP]]*$AH$5)/$AH$18,0)</f>
        <v>0</v>
      </c>
      <c r="AI117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</row>
    <row r="118" spans="1:35" x14ac:dyDescent="0.55000000000000004">
      <c r="A118" t="s">
        <v>449</v>
      </c>
      <c r="B118" t="s">
        <v>150</v>
      </c>
      <c r="C118" t="s">
        <v>340</v>
      </c>
      <c r="D118" s="58">
        <f>_xlfn.XLOOKUP($B118, 'Prioritization calculation'!D:D, 'Prioritization calculation'!X:X, "")</f>
        <v>3</v>
      </c>
      <c r="E118" s="58">
        <v>3</v>
      </c>
      <c r="F118" s="58">
        <v>3</v>
      </c>
      <c r="G118" s="58" t="s">
        <v>521</v>
      </c>
      <c r="H118" s="58">
        <v>19985</v>
      </c>
      <c r="I118" s="58">
        <v>0</v>
      </c>
      <c r="J118" s="58">
        <v>0</v>
      </c>
      <c r="K118" s="58"/>
      <c r="L118" s="58">
        <v>5700</v>
      </c>
      <c r="M118" s="58">
        <v>21619</v>
      </c>
      <c r="N118" s="58">
        <v>2947.0029199530122</v>
      </c>
      <c r="O118" s="97">
        <f>SUM(Table24[[#This Row],[SHL_PIN_IDPs]:[SHL_PIN_NDP]])</f>
        <v>35872</v>
      </c>
      <c r="P118" s="98">
        <v>12651</v>
      </c>
      <c r="Q118" s="98">
        <v>6521</v>
      </c>
      <c r="R118" s="98">
        <v>16700</v>
      </c>
      <c r="S118" s="98">
        <f>ROUND(SUM(Table24[[#This Row],[SHL_TAR_IDPs]:[SHL_TAR_NDP]]),0)</f>
        <v>5243</v>
      </c>
      <c r="T118" s="48">
        <f>SUM(Table24[[#This Row],[HIDE IDP]:[HIDE NDP]])</f>
        <v>5243.2</v>
      </c>
      <c r="U118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2530</v>
      </c>
      <c r="V118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1043.2</v>
      </c>
      <c r="W118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1670</v>
      </c>
      <c r="X118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2530</v>
      </c>
      <c r="Y118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1043.2</v>
      </c>
      <c r="Z118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1670</v>
      </c>
      <c r="AA118" s="49">
        <f>ROUND($P$8*(Table24[[#This Row],[SHL_TAR_IDPs]]*$AA$3+Table24[[#This Row],[SHL_TAR_HC]]*$AA$4+Table24[[#This Row],[SHL_TAR_NDP]]*$AA$5)/$AA$18,0)</f>
        <v>446</v>
      </c>
      <c r="AB118" s="49">
        <f>ROUND($P$8*(Table24[[#This Row],[SHL_TAR_IDPs]]*$AB$3+Table24[[#This Row],[SHL_TAR_HC]]*$AB$4+Table24[[#This Row],[SHL_TAR_NDP]]*$AB$5)/$AB$18,0)</f>
        <v>446</v>
      </c>
      <c r="AC118" s="49">
        <f>ROUND($Q$8*(Table24[[#This Row],[SHL_TAR_IDPs]]*$AC$3+Table24[[#This Row],[SHL_TAR_HC]]*$AC$4+Table24[[#This Row],[SHL_TAR_NDP]]*$AC$5)/$AC$18,0)</f>
        <v>25</v>
      </c>
      <c r="AD118" s="49">
        <f>ROUND($Q$8*(Table24[[#This Row],[SHL_TAR_IDPs]]*$AD$3+Table24[[#This Row],[SHL_TAR_HC]]*$AD$4+Table24[[#This Row],[SHL_TAR_NDP]]*$AD$5)/$AD$18,0)</f>
        <v>25</v>
      </c>
      <c r="AE118" s="49">
        <f>ROUND($Q$8*(Table24[[#This Row],[SHL_TAR_IDPs]]*$AE$3+Table24[[#This Row],[SHL_TAR_HC]]*$AE$4+Table24[[#This Row],[SHL_TAR_NDP]]*$AE$5)/$AE$18,0)</f>
        <v>52</v>
      </c>
      <c r="AF118" s="49">
        <f>ROUND($Q$8*(Table24[[#This Row],[SHL_TAR_IDPs]]*$AF$3+Table24[[#This Row],[SHL_TAR_HC]]*$AF$4+Table24[[#This Row],[SHL_TAR_NDP]]*$AF$5)/$AF$18,0)</f>
        <v>105</v>
      </c>
      <c r="AG118" s="49">
        <f>ROUND($Q$8*(Table24[[#This Row],[SHL_TAR_IDPs]]*$AG$3+Table24[[#This Row],[SHL_TAR_HC]]*$AG$4+Table24[[#This Row],[SHL_TAR_NDP]]*$AG$5)/$AG$18,0)</f>
        <v>255</v>
      </c>
      <c r="AH118" s="49">
        <f>ROUND($Q$8*(Table24[[#This Row],[SHL_TAR_IDPs]]*$AH$3+Table24[[#This Row],[SHL_TAR_HC]]*$AH$4+Table24[[#This Row],[SHL_TAR_NDP]]*$AH$5)/$AH$18,0)</f>
        <v>61</v>
      </c>
      <c r="AI118" s="49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>39</v>
      </c>
    </row>
    <row r="119" spans="1:35" x14ac:dyDescent="0.55000000000000004">
      <c r="A119" t="s">
        <v>450</v>
      </c>
      <c r="B119" t="s">
        <v>151</v>
      </c>
      <c r="C119" t="s">
        <v>341</v>
      </c>
      <c r="D119" s="58">
        <f>_xlfn.XLOOKUP($B119, 'Prioritization calculation'!D:D, 'Prioritization calculation'!X:X, "")</f>
        <v>3</v>
      </c>
      <c r="E119" s="58">
        <v>4</v>
      </c>
      <c r="F119" s="58">
        <v>3</v>
      </c>
      <c r="G119" s="58" t="s">
        <v>521</v>
      </c>
      <c r="H119" s="58">
        <v>70080</v>
      </c>
      <c r="I119" s="58">
        <v>0</v>
      </c>
      <c r="J119" s="58">
        <v>0</v>
      </c>
      <c r="K119" s="58"/>
      <c r="L119" s="58">
        <v>6270</v>
      </c>
      <c r="M119" s="58">
        <v>0</v>
      </c>
      <c r="N119" s="58">
        <v>0</v>
      </c>
      <c r="O119" s="97">
        <f>SUM(Table24[[#This Row],[SHL_PIN_IDPs]:[SHL_PIN_NDP]])</f>
        <v>71628</v>
      </c>
      <c r="P119" s="98">
        <v>41760</v>
      </c>
      <c r="Q119" s="98">
        <v>20946</v>
      </c>
      <c r="R119" s="98">
        <v>8922</v>
      </c>
      <c r="S119" s="98">
        <f>ROUND(SUM(Table24[[#This Row],[SHL_TAR_IDPs]:[SHL_TAR_NDP]]),0)</f>
        <v>25191</v>
      </c>
      <c r="T119" s="48">
        <f>SUM(Table24[[#This Row],[HIDE IDP]:[HIDE NDP]])</f>
        <v>25190.9</v>
      </c>
      <c r="U119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16704</v>
      </c>
      <c r="V119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6702.4000000000005</v>
      </c>
      <c r="W119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1784.5</v>
      </c>
      <c r="X119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16704</v>
      </c>
      <c r="Y119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6702.4000000000005</v>
      </c>
      <c r="Z119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1784.5</v>
      </c>
      <c r="AA119" s="49">
        <f>ROUND($P$8*(Table24[[#This Row],[SHL_TAR_IDPs]]*$AA$3+Table24[[#This Row],[SHL_TAR_HC]]*$AA$4+Table24[[#This Row],[SHL_TAR_NDP]]*$AA$5)/$AA$18,0)</f>
        <v>2141</v>
      </c>
      <c r="AB119" s="49">
        <f>ROUND($P$8*(Table24[[#This Row],[SHL_TAR_IDPs]]*$AB$3+Table24[[#This Row],[SHL_TAR_HC]]*$AB$4+Table24[[#This Row],[SHL_TAR_NDP]]*$AB$5)/$AB$18,0)</f>
        <v>2141</v>
      </c>
      <c r="AC119" s="49">
        <f>ROUND($Q$8*(Table24[[#This Row],[SHL_TAR_IDPs]]*$AC$3+Table24[[#This Row],[SHL_TAR_HC]]*$AC$4+Table24[[#This Row],[SHL_TAR_NDP]]*$AC$5)/$AC$18,0)</f>
        <v>167</v>
      </c>
      <c r="AD119" s="49">
        <f>ROUND($Q$8*(Table24[[#This Row],[SHL_TAR_IDPs]]*$AD$3+Table24[[#This Row],[SHL_TAR_HC]]*$AD$4+Table24[[#This Row],[SHL_TAR_NDP]]*$AD$5)/$AD$18,0)</f>
        <v>167</v>
      </c>
      <c r="AE119" s="49">
        <f>ROUND($Q$8*(Table24[[#This Row],[SHL_TAR_IDPs]]*$AE$3+Table24[[#This Row],[SHL_TAR_HC]]*$AE$4+Table24[[#This Row],[SHL_TAR_NDP]]*$AE$5)/$AE$18,0)</f>
        <v>252</v>
      </c>
      <c r="AF119" s="49">
        <f>ROUND($Q$8*(Table24[[#This Row],[SHL_TAR_IDPs]]*$AF$3+Table24[[#This Row],[SHL_TAR_HC]]*$AF$4+Table24[[#This Row],[SHL_TAR_NDP]]*$AF$5)/$AF$18,0)</f>
        <v>504</v>
      </c>
      <c r="AG119" s="49">
        <f>ROUND($Q$8*(Table24[[#This Row],[SHL_TAR_IDPs]]*$AG$3+Table24[[#This Row],[SHL_TAR_HC]]*$AG$4+Table24[[#This Row],[SHL_TAR_NDP]]*$AG$5)/$AG$18,0)</f>
        <v>1028</v>
      </c>
      <c r="AH119" s="49">
        <f>ROUND($Q$8*(Table24[[#This Row],[SHL_TAR_IDPs]]*$AH$3+Table24[[#This Row],[SHL_TAR_HC]]*$AH$4+Table24[[#This Row],[SHL_TAR_NDP]]*$AH$5)/$AH$18,0)</f>
        <v>401</v>
      </c>
      <c r="AI119" s="49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>209</v>
      </c>
    </row>
    <row r="120" spans="1:35" x14ac:dyDescent="0.55000000000000004">
      <c r="A120" t="s">
        <v>450</v>
      </c>
      <c r="B120" t="s">
        <v>152</v>
      </c>
      <c r="C120" t="s">
        <v>342</v>
      </c>
      <c r="D120" s="58">
        <f>_xlfn.XLOOKUP($B120, 'Prioritization calculation'!D:D, 'Prioritization calculation'!X:X, "")</f>
        <v>3</v>
      </c>
      <c r="E120" s="58">
        <v>3</v>
      </c>
      <c r="F120" s="58">
        <v>3</v>
      </c>
      <c r="G120" s="58" t="s">
        <v>521</v>
      </c>
      <c r="H120" s="58">
        <v>39514</v>
      </c>
      <c r="I120" s="58">
        <v>0</v>
      </c>
      <c r="J120" s="58">
        <v>0</v>
      </c>
      <c r="K120" s="58"/>
      <c r="L120" s="58">
        <v>0</v>
      </c>
      <c r="M120" s="58">
        <v>0</v>
      </c>
      <c r="N120" s="58">
        <v>0</v>
      </c>
      <c r="O120" s="97">
        <f>SUM(Table24[[#This Row],[SHL_PIN_IDPs]:[SHL_PIN_NDP]])</f>
        <v>26581</v>
      </c>
      <c r="P120" s="98">
        <v>17721</v>
      </c>
      <c r="Q120" s="98">
        <v>8860</v>
      </c>
      <c r="R120" s="98">
        <v>0</v>
      </c>
      <c r="S120" s="98">
        <f>ROUND(SUM(Table24[[#This Row],[SHL_TAR_IDPs]:[SHL_TAR_NDP]]),0)</f>
        <v>4962</v>
      </c>
      <c r="T120" s="48">
        <f>SUM(Table24[[#This Row],[HIDE IDP]:[HIDE NDP]])</f>
        <v>4961.6000000000004</v>
      </c>
      <c r="U120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3544</v>
      </c>
      <c r="V120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1417.6000000000001</v>
      </c>
      <c r="W120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0</v>
      </c>
      <c r="X120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3544</v>
      </c>
      <c r="Y120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1417.6000000000001</v>
      </c>
      <c r="Z120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120" s="49">
        <f>ROUND($P$8*(Table24[[#This Row],[SHL_TAR_IDPs]]*$AA$3+Table24[[#This Row],[SHL_TAR_HC]]*$AA$4+Table24[[#This Row],[SHL_TAR_NDP]]*$AA$5)/$AA$18,0)</f>
        <v>422</v>
      </c>
      <c r="AB120" s="49">
        <f>ROUND($P$8*(Table24[[#This Row],[SHL_TAR_IDPs]]*$AB$3+Table24[[#This Row],[SHL_TAR_HC]]*$AB$4+Table24[[#This Row],[SHL_TAR_NDP]]*$AB$5)/$AB$18,0)</f>
        <v>422</v>
      </c>
      <c r="AC120" s="49">
        <f>ROUND($Q$8*(Table24[[#This Row],[SHL_TAR_IDPs]]*$AC$3+Table24[[#This Row],[SHL_TAR_HC]]*$AC$4+Table24[[#This Row],[SHL_TAR_NDP]]*$AC$5)/$AC$18,0)</f>
        <v>35</v>
      </c>
      <c r="AD120" s="49">
        <f>ROUND($Q$8*(Table24[[#This Row],[SHL_TAR_IDPs]]*$AD$3+Table24[[#This Row],[SHL_TAR_HC]]*$AD$4+Table24[[#This Row],[SHL_TAR_NDP]]*$AD$5)/$AD$18,0)</f>
        <v>35</v>
      </c>
      <c r="AE120" s="49">
        <f>ROUND($Q$8*(Table24[[#This Row],[SHL_TAR_IDPs]]*$AE$3+Table24[[#This Row],[SHL_TAR_HC]]*$AE$4+Table24[[#This Row],[SHL_TAR_NDP]]*$AE$5)/$AE$18,0)</f>
        <v>50</v>
      </c>
      <c r="AF120" s="49">
        <f>ROUND($Q$8*(Table24[[#This Row],[SHL_TAR_IDPs]]*$AF$3+Table24[[#This Row],[SHL_TAR_HC]]*$AF$4+Table24[[#This Row],[SHL_TAR_NDP]]*$AF$5)/$AF$18,0)</f>
        <v>99</v>
      </c>
      <c r="AG120" s="49">
        <f>ROUND($Q$8*(Table24[[#This Row],[SHL_TAR_IDPs]]*$AG$3+Table24[[#This Row],[SHL_TAR_HC]]*$AG$4+Table24[[#This Row],[SHL_TAR_NDP]]*$AG$5)/$AG$18,0)</f>
        <v>191</v>
      </c>
      <c r="AH120" s="49">
        <f>ROUND($Q$8*(Table24[[#This Row],[SHL_TAR_IDPs]]*$AH$3+Table24[[#This Row],[SHL_TAR_HC]]*$AH$4+Table24[[#This Row],[SHL_TAR_NDP]]*$AH$5)/$AH$18,0)</f>
        <v>85</v>
      </c>
      <c r="AI120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</row>
    <row r="121" spans="1:35" x14ac:dyDescent="0.55000000000000004">
      <c r="A121" t="s">
        <v>450</v>
      </c>
      <c r="B121" t="s">
        <v>153</v>
      </c>
      <c r="C121" t="s">
        <v>343</v>
      </c>
      <c r="D121" s="58">
        <f>_xlfn.XLOOKUP($B121, 'Prioritization calculation'!D:D, 'Prioritization calculation'!X:X, "")</f>
        <v>3</v>
      </c>
      <c r="E121" s="58">
        <v>3</v>
      </c>
      <c r="F121" s="58">
        <v>3</v>
      </c>
      <c r="G121" s="58" t="s">
        <v>521</v>
      </c>
      <c r="H121" s="98">
        <v>40310</v>
      </c>
      <c r="I121" s="58">
        <v>0</v>
      </c>
      <c r="J121" s="58">
        <v>0</v>
      </c>
      <c r="K121" s="58"/>
      <c r="L121" s="58">
        <v>0</v>
      </c>
      <c r="M121" s="58">
        <v>0</v>
      </c>
      <c r="N121" s="58">
        <v>0</v>
      </c>
      <c r="O121" s="97">
        <f>SUM(Table24[[#This Row],[SHL_PIN_IDPs]:[SHL_PIN_NDP]])</f>
        <v>24186</v>
      </c>
      <c r="P121" s="98">
        <v>16124</v>
      </c>
      <c r="Q121" s="98">
        <v>8062</v>
      </c>
      <c r="R121" s="98">
        <v>0</v>
      </c>
      <c r="S121" s="98">
        <f>ROUND(SUM(Table24[[#This Row],[SHL_TAR_IDPs]:[SHL_TAR_NDP]]),0)</f>
        <v>4515</v>
      </c>
      <c r="T121" s="48">
        <f>SUM(Table24[[#This Row],[HIDE IDP]:[HIDE NDP]])</f>
        <v>4514.6000000000004</v>
      </c>
      <c r="U121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3225</v>
      </c>
      <c r="V121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1289.6000000000001</v>
      </c>
      <c r="W121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0</v>
      </c>
      <c r="X121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3225</v>
      </c>
      <c r="Y121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1289.6000000000001</v>
      </c>
      <c r="Z121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121" s="49">
        <f>ROUND($P$8*(Table24[[#This Row],[SHL_TAR_IDPs]]*$AA$3+Table24[[#This Row],[SHL_TAR_HC]]*$AA$4+Table24[[#This Row],[SHL_TAR_NDP]]*$AA$5)/$AA$18,0)</f>
        <v>384</v>
      </c>
      <c r="AB121" s="49">
        <f>ROUND($P$8*(Table24[[#This Row],[SHL_TAR_IDPs]]*$AB$3+Table24[[#This Row],[SHL_TAR_HC]]*$AB$4+Table24[[#This Row],[SHL_TAR_NDP]]*$AB$5)/$AB$18,0)</f>
        <v>384</v>
      </c>
      <c r="AC121" s="49">
        <f>ROUND($Q$8*(Table24[[#This Row],[SHL_TAR_IDPs]]*$AC$3+Table24[[#This Row],[SHL_TAR_HC]]*$AC$4+Table24[[#This Row],[SHL_TAR_NDP]]*$AC$5)/$AC$18,0)</f>
        <v>32</v>
      </c>
      <c r="AD121" s="49">
        <f>ROUND($Q$8*(Table24[[#This Row],[SHL_TAR_IDPs]]*$AD$3+Table24[[#This Row],[SHL_TAR_HC]]*$AD$4+Table24[[#This Row],[SHL_TAR_NDP]]*$AD$5)/$AD$18,0)</f>
        <v>32</v>
      </c>
      <c r="AE121" s="49">
        <f>ROUND($Q$8*(Table24[[#This Row],[SHL_TAR_IDPs]]*$AE$3+Table24[[#This Row],[SHL_TAR_HC]]*$AE$4+Table24[[#This Row],[SHL_TAR_NDP]]*$AE$5)/$AE$18,0)</f>
        <v>45</v>
      </c>
      <c r="AF121" s="49">
        <f>ROUND($Q$8*(Table24[[#This Row],[SHL_TAR_IDPs]]*$AF$3+Table24[[#This Row],[SHL_TAR_HC]]*$AF$4+Table24[[#This Row],[SHL_TAR_NDP]]*$AF$5)/$AF$18,0)</f>
        <v>90</v>
      </c>
      <c r="AG121" s="49">
        <f>ROUND($Q$8*(Table24[[#This Row],[SHL_TAR_IDPs]]*$AG$3+Table24[[#This Row],[SHL_TAR_HC]]*$AG$4+Table24[[#This Row],[SHL_TAR_NDP]]*$AG$5)/$AG$18,0)</f>
        <v>174</v>
      </c>
      <c r="AH121" s="49">
        <f>ROUND($Q$8*(Table24[[#This Row],[SHL_TAR_IDPs]]*$AH$3+Table24[[#This Row],[SHL_TAR_HC]]*$AH$4+Table24[[#This Row],[SHL_TAR_NDP]]*$AH$5)/$AH$18,0)</f>
        <v>77</v>
      </c>
      <c r="AI121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</row>
    <row r="122" spans="1:35" x14ac:dyDescent="0.55000000000000004">
      <c r="A122" t="s">
        <v>450</v>
      </c>
      <c r="B122" t="s">
        <v>154</v>
      </c>
      <c r="C122" t="s">
        <v>344</v>
      </c>
      <c r="D122" s="58">
        <f>_xlfn.XLOOKUP($B122, 'Prioritization calculation'!D:D, 'Prioritization calculation'!X:X, "")</f>
        <v>3</v>
      </c>
      <c r="E122" s="58">
        <v>3</v>
      </c>
      <c r="F122" s="58">
        <v>3</v>
      </c>
      <c r="G122" s="58" t="s">
        <v>521</v>
      </c>
      <c r="H122" s="58">
        <v>44760</v>
      </c>
      <c r="I122" s="58">
        <v>0</v>
      </c>
      <c r="J122" s="58">
        <v>0</v>
      </c>
      <c r="K122" s="58"/>
      <c r="L122" s="58">
        <v>0</v>
      </c>
      <c r="M122" s="58">
        <v>0</v>
      </c>
      <c r="N122" s="58">
        <v>673.45900705989527</v>
      </c>
      <c r="O122" s="97">
        <f>SUM(Table24[[#This Row],[SHL_PIN_IDPs]:[SHL_PIN_NDP]])</f>
        <v>26856</v>
      </c>
      <c r="P122" s="98">
        <v>17904</v>
      </c>
      <c r="Q122" s="98">
        <v>8952</v>
      </c>
      <c r="R122" s="98">
        <v>0</v>
      </c>
      <c r="S122" s="98">
        <f>ROUND(SUM(Table24[[#This Row],[SHL_TAR_IDPs]:[SHL_TAR_NDP]]),0)</f>
        <v>5013</v>
      </c>
      <c r="T122" s="48">
        <f>SUM(Table24[[#This Row],[HIDE IDP]:[HIDE NDP]])</f>
        <v>5013</v>
      </c>
      <c r="U122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3581</v>
      </c>
      <c r="V122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1432</v>
      </c>
      <c r="W122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0</v>
      </c>
      <c r="X122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3581</v>
      </c>
      <c r="Y122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1432</v>
      </c>
      <c r="Z122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122" s="49">
        <f>ROUND($P$8*(Table24[[#This Row],[SHL_TAR_IDPs]]*$AA$3+Table24[[#This Row],[SHL_TAR_HC]]*$AA$4+Table24[[#This Row],[SHL_TAR_NDP]]*$AA$5)/$AA$18,0)</f>
        <v>426</v>
      </c>
      <c r="AB122" s="49">
        <f>ROUND($P$8*(Table24[[#This Row],[SHL_TAR_IDPs]]*$AB$3+Table24[[#This Row],[SHL_TAR_HC]]*$AB$4+Table24[[#This Row],[SHL_TAR_NDP]]*$AB$5)/$AB$18,0)</f>
        <v>426</v>
      </c>
      <c r="AC122" s="49">
        <f>ROUND($Q$8*(Table24[[#This Row],[SHL_TAR_IDPs]]*$AC$3+Table24[[#This Row],[SHL_TAR_HC]]*$AC$4+Table24[[#This Row],[SHL_TAR_NDP]]*$AC$5)/$AC$18,0)</f>
        <v>36</v>
      </c>
      <c r="AD122" s="49">
        <f>ROUND($Q$8*(Table24[[#This Row],[SHL_TAR_IDPs]]*$AD$3+Table24[[#This Row],[SHL_TAR_HC]]*$AD$4+Table24[[#This Row],[SHL_TAR_NDP]]*$AD$5)/$AD$18,0)</f>
        <v>36</v>
      </c>
      <c r="AE122" s="49">
        <f>ROUND($Q$8*(Table24[[#This Row],[SHL_TAR_IDPs]]*$AE$3+Table24[[#This Row],[SHL_TAR_HC]]*$AE$4+Table24[[#This Row],[SHL_TAR_NDP]]*$AE$5)/$AE$18,0)</f>
        <v>50</v>
      </c>
      <c r="AF122" s="49">
        <f>ROUND($Q$8*(Table24[[#This Row],[SHL_TAR_IDPs]]*$AF$3+Table24[[#This Row],[SHL_TAR_HC]]*$AF$4+Table24[[#This Row],[SHL_TAR_NDP]]*$AF$5)/$AF$18,0)</f>
        <v>100</v>
      </c>
      <c r="AG122" s="49">
        <f>ROUND($Q$8*(Table24[[#This Row],[SHL_TAR_IDPs]]*$AG$3+Table24[[#This Row],[SHL_TAR_HC]]*$AG$4+Table24[[#This Row],[SHL_TAR_NDP]]*$AG$5)/$AG$18,0)</f>
        <v>193</v>
      </c>
      <c r="AH122" s="49">
        <f>ROUND($Q$8*(Table24[[#This Row],[SHL_TAR_IDPs]]*$AH$3+Table24[[#This Row],[SHL_TAR_HC]]*$AH$4+Table24[[#This Row],[SHL_TAR_NDP]]*$AH$5)/$AH$18,0)</f>
        <v>86</v>
      </c>
      <c r="AI122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</row>
    <row r="123" spans="1:35" x14ac:dyDescent="0.55000000000000004">
      <c r="A123" t="s">
        <v>450</v>
      </c>
      <c r="B123" t="s">
        <v>155</v>
      </c>
      <c r="C123" t="s">
        <v>345</v>
      </c>
      <c r="D123" s="58">
        <f>_xlfn.XLOOKUP($B123, 'Prioritization calculation'!D:D, 'Prioritization calculation'!X:X, "")</f>
        <v>1</v>
      </c>
      <c r="E123" s="58">
        <v>4</v>
      </c>
      <c r="F123" s="58">
        <v>3</v>
      </c>
      <c r="G123" s="58" t="s">
        <v>521</v>
      </c>
      <c r="H123" s="58">
        <v>49961</v>
      </c>
      <c r="I123" s="58">
        <v>2340</v>
      </c>
      <c r="J123" s="58">
        <v>1200</v>
      </c>
      <c r="K123" s="58"/>
      <c r="L123" s="58">
        <v>0</v>
      </c>
      <c r="M123" s="58">
        <v>0</v>
      </c>
      <c r="N123" s="58">
        <v>0</v>
      </c>
      <c r="O123" s="97">
        <f>SUM(Table24[[#This Row],[SHL_PIN_IDPs]:[SHL_PIN_NDP]])</f>
        <v>46059</v>
      </c>
      <c r="P123" s="98">
        <v>30031</v>
      </c>
      <c r="Q123" s="98">
        <v>15280</v>
      </c>
      <c r="R123" s="98">
        <v>748</v>
      </c>
      <c r="S123" s="98">
        <f>ROUND(SUM(Table24[[#This Row],[SHL_TAR_IDPs]:[SHL_TAR_NDP]]),0)</f>
        <v>34103</v>
      </c>
      <c r="T123" s="48">
        <f>SUM(Table24[[#This Row],[HIDE IDP]:[HIDE NDP]])</f>
        <v>34103.199999999997</v>
      </c>
      <c r="U123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24025</v>
      </c>
      <c r="V123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9779.2000000000007</v>
      </c>
      <c r="W123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299</v>
      </c>
      <c r="X123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24025</v>
      </c>
      <c r="Y123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9779.2000000000007</v>
      </c>
      <c r="Z123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299</v>
      </c>
      <c r="AA123" s="49">
        <f>ROUND($P$8*(Table24[[#This Row],[SHL_TAR_IDPs]]*$AA$3+Table24[[#This Row],[SHL_TAR_HC]]*$AA$4+Table24[[#This Row],[SHL_TAR_NDP]]*$AA$5)/$AA$18,0)</f>
        <v>2899</v>
      </c>
      <c r="AB123" s="49">
        <f>ROUND($P$8*(Table24[[#This Row],[SHL_TAR_IDPs]]*$AB$3+Table24[[#This Row],[SHL_TAR_HC]]*$AB$4+Table24[[#This Row],[SHL_TAR_NDP]]*$AB$5)/$AB$18,0)</f>
        <v>2899</v>
      </c>
      <c r="AC123" s="49">
        <f>ROUND($Q$8*(Table24[[#This Row],[SHL_TAR_IDPs]]*$AC$3+Table24[[#This Row],[SHL_TAR_HC]]*$AC$4+Table24[[#This Row],[SHL_TAR_NDP]]*$AC$5)/$AC$18,0)</f>
        <v>240</v>
      </c>
      <c r="AD123" s="49">
        <f>ROUND($Q$8*(Table24[[#This Row],[SHL_TAR_IDPs]]*$AD$3+Table24[[#This Row],[SHL_TAR_HC]]*$AD$4+Table24[[#This Row],[SHL_TAR_NDP]]*$AD$5)/$AD$18,0)</f>
        <v>240</v>
      </c>
      <c r="AE123" s="49">
        <f>ROUND($Q$8*(Table24[[#This Row],[SHL_TAR_IDPs]]*$AE$3+Table24[[#This Row],[SHL_TAR_HC]]*$AE$4+Table24[[#This Row],[SHL_TAR_NDP]]*$AE$5)/$AE$18,0)</f>
        <v>341</v>
      </c>
      <c r="AF123" s="49">
        <f>ROUND($Q$8*(Table24[[#This Row],[SHL_TAR_IDPs]]*$AF$3+Table24[[#This Row],[SHL_TAR_HC]]*$AF$4+Table24[[#This Row],[SHL_TAR_NDP]]*$AF$5)/$AF$18,0)</f>
        <v>682</v>
      </c>
      <c r="AG123" s="49">
        <f>ROUND($Q$8*(Table24[[#This Row],[SHL_TAR_IDPs]]*$AG$3+Table24[[#This Row],[SHL_TAR_HC]]*$AG$4+Table24[[#This Row],[SHL_TAR_NDP]]*$AG$5)/$AG$18,0)</f>
        <v>1328</v>
      </c>
      <c r="AH123" s="49">
        <f>ROUND($Q$8*(Table24[[#This Row],[SHL_TAR_IDPs]]*$AH$3+Table24[[#This Row],[SHL_TAR_HC]]*$AH$4+Table24[[#This Row],[SHL_TAR_NDP]]*$AH$5)/$AH$18,0)</f>
        <v>578</v>
      </c>
      <c r="AI123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</row>
    <row r="124" spans="1:35" x14ac:dyDescent="0.55000000000000004">
      <c r="A124" t="s">
        <v>450</v>
      </c>
      <c r="B124" t="s">
        <v>156</v>
      </c>
      <c r="C124" t="s">
        <v>346</v>
      </c>
      <c r="D124" s="58">
        <f>_xlfn.XLOOKUP($B124, 'Prioritization calculation'!D:D, 'Prioritization calculation'!X:X, "")</f>
        <v>1</v>
      </c>
      <c r="E124" s="58">
        <v>4</v>
      </c>
      <c r="F124" s="58">
        <v>3</v>
      </c>
      <c r="G124" s="58" t="s">
        <v>521</v>
      </c>
      <c r="H124" s="58">
        <v>52205</v>
      </c>
      <c r="I124" s="58">
        <v>7750</v>
      </c>
      <c r="J124" s="58">
        <v>7675</v>
      </c>
      <c r="K124" s="58"/>
      <c r="L124" s="58">
        <v>6290</v>
      </c>
      <c r="M124" s="58">
        <v>21880</v>
      </c>
      <c r="N124" s="58">
        <v>0</v>
      </c>
      <c r="O124" s="97">
        <f>SUM(Table24[[#This Row],[SHL_PIN_IDPs]:[SHL_PIN_NDP]])</f>
        <v>36312</v>
      </c>
      <c r="P124" s="98">
        <v>31323</v>
      </c>
      <c r="Q124" s="98">
        <v>4527</v>
      </c>
      <c r="R124" s="98">
        <v>462</v>
      </c>
      <c r="S124" s="98">
        <f>ROUND(SUM(Table24[[#This Row],[SHL_TAR_IDPs]:[SHL_TAR_NDP]]),0)</f>
        <v>28141</v>
      </c>
      <c r="T124" s="48">
        <f>SUM(Table24[[#This Row],[HIDE IDP]:[HIDE NDP]])</f>
        <v>28140.6</v>
      </c>
      <c r="U124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25058</v>
      </c>
      <c r="V124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2897.6000000000004</v>
      </c>
      <c r="W124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185</v>
      </c>
      <c r="X124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25058</v>
      </c>
      <c r="Y124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2897.6000000000004</v>
      </c>
      <c r="Z124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185</v>
      </c>
      <c r="AA124" s="49">
        <f>ROUND($P$8*(Table24[[#This Row],[SHL_TAR_IDPs]]*$AA$3+Table24[[#This Row],[SHL_TAR_HC]]*$AA$4+Table24[[#This Row],[SHL_TAR_NDP]]*$AA$5)/$AA$18,0)</f>
        <v>2392</v>
      </c>
      <c r="AB124" s="49">
        <f>ROUND($P$8*(Table24[[#This Row],[SHL_TAR_IDPs]]*$AB$3+Table24[[#This Row],[SHL_TAR_HC]]*$AB$4+Table24[[#This Row],[SHL_TAR_NDP]]*$AB$5)/$AB$18,0)</f>
        <v>2392</v>
      </c>
      <c r="AC124" s="49">
        <f>ROUND($Q$8*(Table24[[#This Row],[SHL_TAR_IDPs]]*$AC$3+Table24[[#This Row],[SHL_TAR_HC]]*$AC$4+Table24[[#This Row],[SHL_TAR_NDP]]*$AC$5)/$AC$18,0)</f>
        <v>251</v>
      </c>
      <c r="AD124" s="49">
        <f>ROUND($Q$8*(Table24[[#This Row],[SHL_TAR_IDPs]]*$AD$3+Table24[[#This Row],[SHL_TAR_HC]]*$AD$4+Table24[[#This Row],[SHL_TAR_NDP]]*$AD$5)/$AD$18,0)</f>
        <v>251</v>
      </c>
      <c r="AE124" s="49">
        <f>ROUND($Q$8*(Table24[[#This Row],[SHL_TAR_IDPs]]*$AE$3+Table24[[#This Row],[SHL_TAR_HC]]*$AE$4+Table24[[#This Row],[SHL_TAR_NDP]]*$AE$5)/$AE$18,0)</f>
        <v>281</v>
      </c>
      <c r="AF124" s="49">
        <f>ROUND($Q$8*(Table24[[#This Row],[SHL_TAR_IDPs]]*$AF$3+Table24[[#This Row],[SHL_TAR_HC]]*$AF$4+Table24[[#This Row],[SHL_TAR_NDP]]*$AF$5)/$AF$18,0)</f>
        <v>563</v>
      </c>
      <c r="AG124" s="49">
        <f>ROUND($Q$8*(Table24[[#This Row],[SHL_TAR_IDPs]]*$AG$3+Table24[[#This Row],[SHL_TAR_HC]]*$AG$4+Table24[[#This Row],[SHL_TAR_NDP]]*$AG$5)/$AG$18,0)</f>
        <v>939</v>
      </c>
      <c r="AH124" s="49">
        <f>ROUND($Q$8*(Table24[[#This Row],[SHL_TAR_IDPs]]*$AH$3+Table24[[#This Row],[SHL_TAR_HC]]*$AH$4+Table24[[#This Row],[SHL_TAR_NDP]]*$AH$5)/$AH$18,0)</f>
        <v>530</v>
      </c>
      <c r="AI124" s="49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>266</v>
      </c>
    </row>
    <row r="125" spans="1:35" x14ac:dyDescent="0.55000000000000004">
      <c r="A125" t="s">
        <v>450</v>
      </c>
      <c r="B125" t="s">
        <v>157</v>
      </c>
      <c r="C125" t="s">
        <v>347</v>
      </c>
      <c r="D125" s="58">
        <f>_xlfn.XLOOKUP($B125, 'Prioritization calculation'!D:D, 'Prioritization calculation'!X:X, "")</f>
        <v>3</v>
      </c>
      <c r="E125" s="58">
        <v>4</v>
      </c>
      <c r="F125" s="58">
        <v>3</v>
      </c>
      <c r="G125" s="58" t="s">
        <v>521</v>
      </c>
      <c r="H125" s="58">
        <v>67343</v>
      </c>
      <c r="I125" s="58">
        <v>0</v>
      </c>
      <c r="J125" s="58">
        <v>0</v>
      </c>
      <c r="K125" s="58"/>
      <c r="L125" s="58">
        <v>0</v>
      </c>
      <c r="M125" s="58">
        <v>0</v>
      </c>
      <c r="N125" s="58">
        <v>574.37325676784246</v>
      </c>
      <c r="O125" s="97">
        <f>SUM(Table24[[#This Row],[SHL_PIN_IDPs]:[SHL_PIN_NDP]])</f>
        <v>64726</v>
      </c>
      <c r="P125" s="98">
        <v>40466</v>
      </c>
      <c r="Q125" s="98">
        <v>20246</v>
      </c>
      <c r="R125" s="98">
        <v>4014</v>
      </c>
      <c r="S125" s="98">
        <f>ROUND(SUM(Table24[[#This Row],[SHL_TAR_IDPs]:[SHL_TAR_NDP]]),0)</f>
        <v>23467</v>
      </c>
      <c r="T125" s="48">
        <f>SUM(Table24[[#This Row],[HIDE IDP]:[HIDE NDP]])</f>
        <v>23467.4</v>
      </c>
      <c r="U125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16186</v>
      </c>
      <c r="V125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6478.4000000000005</v>
      </c>
      <c r="W125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803</v>
      </c>
      <c r="X125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16186</v>
      </c>
      <c r="Y125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6478.4000000000005</v>
      </c>
      <c r="Z125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803</v>
      </c>
      <c r="AA125" s="49">
        <f>ROUND($P$8*(Table24[[#This Row],[SHL_TAR_IDPs]]*$AA$3+Table24[[#This Row],[SHL_TAR_HC]]*$AA$4+Table24[[#This Row],[SHL_TAR_NDP]]*$AA$5)/$AA$18,0)</f>
        <v>1995</v>
      </c>
      <c r="AB125" s="49">
        <f>ROUND($P$8*(Table24[[#This Row],[SHL_TAR_IDPs]]*$AB$3+Table24[[#This Row],[SHL_TAR_HC]]*$AB$4+Table24[[#This Row],[SHL_TAR_NDP]]*$AB$5)/$AB$18,0)</f>
        <v>1995</v>
      </c>
      <c r="AC125" s="49">
        <f>ROUND($Q$8*(Table24[[#This Row],[SHL_TAR_IDPs]]*$AC$3+Table24[[#This Row],[SHL_TAR_HC]]*$AC$4+Table24[[#This Row],[SHL_TAR_NDP]]*$AC$5)/$AC$18,0)</f>
        <v>162</v>
      </c>
      <c r="AD125" s="49">
        <f>ROUND($Q$8*(Table24[[#This Row],[SHL_TAR_IDPs]]*$AD$3+Table24[[#This Row],[SHL_TAR_HC]]*$AD$4+Table24[[#This Row],[SHL_TAR_NDP]]*$AD$5)/$AD$18,0)</f>
        <v>162</v>
      </c>
      <c r="AE125" s="49">
        <f>ROUND($Q$8*(Table24[[#This Row],[SHL_TAR_IDPs]]*$AE$3+Table24[[#This Row],[SHL_TAR_HC]]*$AE$4+Table24[[#This Row],[SHL_TAR_NDP]]*$AE$5)/$AE$18,0)</f>
        <v>235</v>
      </c>
      <c r="AF125" s="49">
        <f>ROUND($Q$8*(Table24[[#This Row],[SHL_TAR_IDPs]]*$AF$3+Table24[[#This Row],[SHL_TAR_HC]]*$AF$4+Table24[[#This Row],[SHL_TAR_NDP]]*$AF$5)/$AF$18,0)</f>
        <v>469</v>
      </c>
      <c r="AG125" s="49">
        <f>ROUND($Q$8*(Table24[[#This Row],[SHL_TAR_IDPs]]*$AG$3+Table24[[#This Row],[SHL_TAR_HC]]*$AG$4+Table24[[#This Row],[SHL_TAR_NDP]]*$AG$5)/$AG$18,0)</f>
        <v>930</v>
      </c>
      <c r="AH125" s="49">
        <f>ROUND($Q$8*(Table24[[#This Row],[SHL_TAR_IDPs]]*$AH$3+Table24[[#This Row],[SHL_TAR_HC]]*$AH$4+Table24[[#This Row],[SHL_TAR_NDP]]*$AH$5)/$AH$18,0)</f>
        <v>389</v>
      </c>
      <c r="AI125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</row>
    <row r="126" spans="1:35" x14ac:dyDescent="0.55000000000000004">
      <c r="A126" t="s">
        <v>451</v>
      </c>
      <c r="B126" t="s">
        <v>158</v>
      </c>
      <c r="C126" t="s">
        <v>348</v>
      </c>
      <c r="D126" s="58">
        <f>_xlfn.XLOOKUP($B126, 'Prioritization calculation'!D:D, 'Prioritization calculation'!X:X, "")</f>
        <v>3</v>
      </c>
      <c r="E126" s="58">
        <v>3</v>
      </c>
      <c r="F126" s="58">
        <v>3</v>
      </c>
      <c r="G126" s="58" t="s">
        <v>521</v>
      </c>
      <c r="H126" s="58">
        <v>0</v>
      </c>
      <c r="I126" s="58">
        <v>7175</v>
      </c>
      <c r="J126" s="58">
        <v>0</v>
      </c>
      <c r="K126" s="58"/>
      <c r="L126" s="58">
        <v>1355</v>
      </c>
      <c r="M126" s="58">
        <v>0</v>
      </c>
      <c r="N126" s="58">
        <v>0</v>
      </c>
      <c r="O126" s="97">
        <f>SUM(Table24[[#This Row],[SHL_PIN_IDPs]:[SHL_PIN_NDP]])</f>
        <v>7940</v>
      </c>
      <c r="P126" s="98">
        <v>0</v>
      </c>
      <c r="Q126" s="98">
        <v>0</v>
      </c>
      <c r="R126" s="98">
        <v>7940</v>
      </c>
      <c r="S126" s="98">
        <f>ROUND(SUM(Table24[[#This Row],[SHL_TAR_IDPs]:[SHL_TAR_NDP]]),0)</f>
        <v>0</v>
      </c>
      <c r="T126" s="48">
        <f>SUM(Table24[[#This Row],[HIDE IDP]:[HIDE NDP]])</f>
        <v>794</v>
      </c>
      <c r="U126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0</v>
      </c>
      <c r="V126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0</v>
      </c>
      <c r="W126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794</v>
      </c>
      <c r="X126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0</v>
      </c>
      <c r="Y126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0</v>
      </c>
      <c r="Z126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126" s="49">
        <f>ROUND($P$8*(Table24[[#This Row],[SHL_TAR_IDPs]]*$AA$3+Table24[[#This Row],[SHL_TAR_HC]]*$AA$4+Table24[[#This Row],[SHL_TAR_NDP]]*$AA$5)/$AA$18,0)</f>
        <v>0</v>
      </c>
      <c r="AB126" s="49">
        <f>ROUND($P$8*(Table24[[#This Row],[SHL_TAR_IDPs]]*$AB$3+Table24[[#This Row],[SHL_TAR_HC]]*$AB$4+Table24[[#This Row],[SHL_TAR_NDP]]*$AB$5)/$AB$18,0)</f>
        <v>0</v>
      </c>
      <c r="AC126" s="49">
        <f>ROUND($Q$8*(Table24[[#This Row],[SHL_TAR_IDPs]]*$AC$3+Table24[[#This Row],[SHL_TAR_HC]]*$AC$4+Table24[[#This Row],[SHL_TAR_NDP]]*$AC$5)/$AC$18,0)</f>
        <v>0</v>
      </c>
      <c r="AD126" s="49">
        <f>ROUND($Q$8*(Table24[[#This Row],[SHL_TAR_IDPs]]*$AD$3+Table24[[#This Row],[SHL_TAR_HC]]*$AD$4+Table24[[#This Row],[SHL_TAR_NDP]]*$AD$5)/$AD$18,0)</f>
        <v>0</v>
      </c>
      <c r="AE126" s="49">
        <f>ROUND($Q$8*(Table24[[#This Row],[SHL_TAR_IDPs]]*$AE$3+Table24[[#This Row],[SHL_TAR_HC]]*$AE$4+Table24[[#This Row],[SHL_TAR_NDP]]*$AE$5)/$AE$18,0)</f>
        <v>0</v>
      </c>
      <c r="AF126" s="49">
        <f>ROUND($Q$8*(Table24[[#This Row],[SHL_TAR_IDPs]]*$AF$3+Table24[[#This Row],[SHL_TAR_HC]]*$AF$4+Table24[[#This Row],[SHL_TAR_NDP]]*$AF$5)/$AF$18,0)</f>
        <v>0</v>
      </c>
      <c r="AG126" s="49">
        <f>ROUND($Q$8*(Table24[[#This Row],[SHL_TAR_IDPs]]*$AG$3+Table24[[#This Row],[SHL_TAR_HC]]*$AG$4+Table24[[#This Row],[SHL_TAR_NDP]]*$AG$5)/$AG$18,0)</f>
        <v>0</v>
      </c>
      <c r="AH126" s="49">
        <f>ROUND($Q$8*(Table24[[#This Row],[SHL_TAR_IDPs]]*$AH$3+Table24[[#This Row],[SHL_TAR_HC]]*$AH$4+Table24[[#This Row],[SHL_TAR_NDP]]*$AH$5)/$AH$18,0)</f>
        <v>0</v>
      </c>
      <c r="AI126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</row>
    <row r="127" spans="1:35" x14ac:dyDescent="0.55000000000000004">
      <c r="A127" t="s">
        <v>451</v>
      </c>
      <c r="B127" t="s">
        <v>159</v>
      </c>
      <c r="C127" t="s">
        <v>349</v>
      </c>
      <c r="D127" s="58">
        <f>_xlfn.XLOOKUP($B127, 'Prioritization calculation'!D:D, 'Prioritization calculation'!X:X, "")</f>
        <v>3</v>
      </c>
      <c r="E127" s="58">
        <v>3</v>
      </c>
      <c r="F127" s="58">
        <v>3</v>
      </c>
      <c r="G127" s="58" t="s">
        <v>521</v>
      </c>
      <c r="H127" s="58">
        <v>0</v>
      </c>
      <c r="I127" s="58">
        <v>0</v>
      </c>
      <c r="J127" s="58">
        <v>0</v>
      </c>
      <c r="K127" s="58"/>
      <c r="L127" s="58">
        <v>0</v>
      </c>
      <c r="M127" s="58">
        <v>0</v>
      </c>
      <c r="N127" s="58">
        <v>175.42270531400968</v>
      </c>
      <c r="O127" s="97">
        <f>SUM(Table24[[#This Row],[SHL_PIN_IDPs]:[SHL_PIN_NDP]])</f>
        <v>10547</v>
      </c>
      <c r="P127" s="98">
        <v>0</v>
      </c>
      <c r="Q127" s="98">
        <v>0</v>
      </c>
      <c r="R127" s="98">
        <v>10547</v>
      </c>
      <c r="S127" s="98">
        <f>ROUND(SUM(Table24[[#This Row],[SHL_TAR_IDPs]:[SHL_TAR_NDP]]),0)</f>
        <v>0</v>
      </c>
      <c r="T127" s="48">
        <f>SUM(Table24[[#This Row],[HIDE IDP]:[HIDE NDP]])</f>
        <v>1054.5</v>
      </c>
      <c r="U127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0</v>
      </c>
      <c r="V127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0</v>
      </c>
      <c r="W127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1054.5</v>
      </c>
      <c r="X127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0</v>
      </c>
      <c r="Y127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0</v>
      </c>
      <c r="Z127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127" s="49">
        <f>ROUND($P$8*(Table24[[#This Row],[SHL_TAR_IDPs]]*$AA$3+Table24[[#This Row],[SHL_TAR_HC]]*$AA$4+Table24[[#This Row],[SHL_TAR_NDP]]*$AA$5)/$AA$18,0)</f>
        <v>0</v>
      </c>
      <c r="AB127" s="49">
        <f>ROUND($P$8*(Table24[[#This Row],[SHL_TAR_IDPs]]*$AB$3+Table24[[#This Row],[SHL_TAR_HC]]*$AB$4+Table24[[#This Row],[SHL_TAR_NDP]]*$AB$5)/$AB$18,0)</f>
        <v>0</v>
      </c>
      <c r="AC127" s="49">
        <f>ROUND($Q$8*(Table24[[#This Row],[SHL_TAR_IDPs]]*$AC$3+Table24[[#This Row],[SHL_TAR_HC]]*$AC$4+Table24[[#This Row],[SHL_TAR_NDP]]*$AC$5)/$AC$18,0)</f>
        <v>0</v>
      </c>
      <c r="AD127" s="49">
        <f>ROUND($Q$8*(Table24[[#This Row],[SHL_TAR_IDPs]]*$AD$3+Table24[[#This Row],[SHL_TAR_HC]]*$AD$4+Table24[[#This Row],[SHL_TAR_NDP]]*$AD$5)/$AD$18,0)</f>
        <v>0</v>
      </c>
      <c r="AE127" s="49">
        <f>ROUND($Q$8*(Table24[[#This Row],[SHL_TAR_IDPs]]*$AE$3+Table24[[#This Row],[SHL_TAR_HC]]*$AE$4+Table24[[#This Row],[SHL_TAR_NDP]]*$AE$5)/$AE$18,0)</f>
        <v>0</v>
      </c>
      <c r="AF127" s="49">
        <f>ROUND($Q$8*(Table24[[#This Row],[SHL_TAR_IDPs]]*$AF$3+Table24[[#This Row],[SHL_TAR_HC]]*$AF$4+Table24[[#This Row],[SHL_TAR_NDP]]*$AF$5)/$AF$18,0)</f>
        <v>0</v>
      </c>
      <c r="AG127" s="49">
        <f>ROUND($Q$8*(Table24[[#This Row],[SHL_TAR_IDPs]]*$AG$3+Table24[[#This Row],[SHL_TAR_HC]]*$AG$4+Table24[[#This Row],[SHL_TAR_NDP]]*$AG$5)/$AG$18,0)</f>
        <v>0</v>
      </c>
      <c r="AH127" s="49">
        <f>ROUND($Q$8*(Table24[[#This Row],[SHL_TAR_IDPs]]*$AH$3+Table24[[#This Row],[SHL_TAR_HC]]*$AH$4+Table24[[#This Row],[SHL_TAR_NDP]]*$AH$5)/$AH$18,0)</f>
        <v>0</v>
      </c>
      <c r="AI127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</row>
    <row r="128" spans="1:35" x14ac:dyDescent="0.55000000000000004">
      <c r="A128" t="s">
        <v>451</v>
      </c>
      <c r="B128" t="s">
        <v>160</v>
      </c>
      <c r="C128" t="s">
        <v>350</v>
      </c>
      <c r="D128" s="58">
        <f>_xlfn.XLOOKUP($B128, 'Prioritization calculation'!D:D, 'Prioritization calculation'!X:X, "")</f>
        <v>2</v>
      </c>
      <c r="E128" s="58">
        <v>2</v>
      </c>
      <c r="F128" s="58">
        <v>3</v>
      </c>
      <c r="G128" s="58" t="s">
        <v>521</v>
      </c>
      <c r="H128" s="58">
        <v>0</v>
      </c>
      <c r="I128" s="58">
        <v>0</v>
      </c>
      <c r="J128" s="58">
        <v>0</v>
      </c>
      <c r="K128" s="58"/>
      <c r="L128" s="58">
        <v>740</v>
      </c>
      <c r="M128" s="58">
        <v>1067</v>
      </c>
      <c r="N128" s="58">
        <v>2183.4556859482418</v>
      </c>
      <c r="O128" s="97">
        <f>SUM(Table24[[#This Row],[SHL_PIN_IDPs]:[SHL_PIN_NDP]])</f>
        <v>0</v>
      </c>
      <c r="P128" s="98">
        <v>0</v>
      </c>
      <c r="Q128" s="98">
        <v>0</v>
      </c>
      <c r="R128" s="98">
        <v>0</v>
      </c>
      <c r="S128" s="98">
        <f>ROUND(SUM(Table24[[#This Row],[SHL_TAR_IDPs]:[SHL_TAR_NDP]]),0)</f>
        <v>0</v>
      </c>
      <c r="T128" s="48">
        <f>SUM(Table24[[#This Row],[HIDE IDP]:[HIDE NDP]])</f>
        <v>0</v>
      </c>
      <c r="U128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0</v>
      </c>
      <c r="V128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0</v>
      </c>
      <c r="W128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0</v>
      </c>
      <c r="X128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0</v>
      </c>
      <c r="Y128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0</v>
      </c>
      <c r="Z128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128" s="49">
        <f>ROUND($P$8*(Table24[[#This Row],[SHL_TAR_IDPs]]*$AA$3+Table24[[#This Row],[SHL_TAR_HC]]*$AA$4+Table24[[#This Row],[SHL_TAR_NDP]]*$AA$5)/$AA$18,0)</f>
        <v>0</v>
      </c>
      <c r="AB128" s="49">
        <f>ROUND($P$8*(Table24[[#This Row],[SHL_TAR_IDPs]]*$AB$3+Table24[[#This Row],[SHL_TAR_HC]]*$AB$4+Table24[[#This Row],[SHL_TAR_NDP]]*$AB$5)/$AB$18,0)</f>
        <v>0</v>
      </c>
      <c r="AC128" s="49">
        <f>ROUND($Q$8*(Table24[[#This Row],[SHL_TAR_IDPs]]*$AC$3+Table24[[#This Row],[SHL_TAR_HC]]*$AC$4+Table24[[#This Row],[SHL_TAR_NDP]]*$AC$5)/$AC$18,0)</f>
        <v>0</v>
      </c>
      <c r="AD128" s="49">
        <f>ROUND($Q$8*(Table24[[#This Row],[SHL_TAR_IDPs]]*$AD$3+Table24[[#This Row],[SHL_TAR_HC]]*$AD$4+Table24[[#This Row],[SHL_TAR_NDP]]*$AD$5)/$AD$18,0)</f>
        <v>0</v>
      </c>
      <c r="AE128" s="49">
        <f>ROUND($Q$8*(Table24[[#This Row],[SHL_TAR_IDPs]]*$AE$3+Table24[[#This Row],[SHL_TAR_HC]]*$AE$4+Table24[[#This Row],[SHL_TAR_NDP]]*$AE$5)/$AE$18,0)</f>
        <v>0</v>
      </c>
      <c r="AF128" s="49">
        <f>ROUND($Q$8*(Table24[[#This Row],[SHL_TAR_IDPs]]*$AF$3+Table24[[#This Row],[SHL_TAR_HC]]*$AF$4+Table24[[#This Row],[SHL_TAR_NDP]]*$AF$5)/$AF$18,0)</f>
        <v>0</v>
      </c>
      <c r="AG128" s="49">
        <f>ROUND($Q$8*(Table24[[#This Row],[SHL_TAR_IDPs]]*$AG$3+Table24[[#This Row],[SHL_TAR_HC]]*$AG$4+Table24[[#This Row],[SHL_TAR_NDP]]*$AG$5)/$AG$18,0)</f>
        <v>0</v>
      </c>
      <c r="AH128" s="49">
        <f>ROUND($Q$8*(Table24[[#This Row],[SHL_TAR_IDPs]]*$AH$3+Table24[[#This Row],[SHL_TAR_HC]]*$AH$4+Table24[[#This Row],[SHL_TAR_NDP]]*$AH$5)/$AH$18,0)</f>
        <v>0</v>
      </c>
      <c r="AI128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</row>
    <row r="129" spans="1:38" x14ac:dyDescent="0.55000000000000004">
      <c r="A129" t="s">
        <v>451</v>
      </c>
      <c r="B129" t="s">
        <v>161</v>
      </c>
      <c r="C129" t="s">
        <v>351</v>
      </c>
      <c r="D129" s="58">
        <f>_xlfn.XLOOKUP($B129, 'Prioritization calculation'!D:D, 'Prioritization calculation'!X:X, "")</f>
        <v>3</v>
      </c>
      <c r="E129" s="58">
        <v>3</v>
      </c>
      <c r="F129" s="58">
        <v>3</v>
      </c>
      <c r="G129" s="58" t="s">
        <v>521</v>
      </c>
      <c r="H129" s="58">
        <v>0</v>
      </c>
      <c r="I129" s="58">
        <v>0</v>
      </c>
      <c r="J129" s="58">
        <v>0</v>
      </c>
      <c r="K129" s="58"/>
      <c r="L129" s="58">
        <v>0</v>
      </c>
      <c r="M129" s="58">
        <v>0</v>
      </c>
      <c r="N129" s="58">
        <v>0</v>
      </c>
      <c r="O129" s="97">
        <f>SUM(Table24[[#This Row],[SHL_PIN_IDPs]:[SHL_PIN_NDP]])</f>
        <v>3209</v>
      </c>
      <c r="P129" s="98">
        <v>0</v>
      </c>
      <c r="Q129" s="98">
        <v>0</v>
      </c>
      <c r="R129" s="98">
        <v>3209</v>
      </c>
      <c r="S129" s="98">
        <f>ROUND(SUM(Table24[[#This Row],[SHL_TAR_IDPs]:[SHL_TAR_NDP]]),0)</f>
        <v>0</v>
      </c>
      <c r="T129" s="48">
        <f>SUM(Table24[[#This Row],[HIDE IDP]:[HIDE NDP]])</f>
        <v>321</v>
      </c>
      <c r="U129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0</v>
      </c>
      <c r="V129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0</v>
      </c>
      <c r="W129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321</v>
      </c>
      <c r="X129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0</v>
      </c>
      <c r="Y129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0</v>
      </c>
      <c r="Z129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129" s="49">
        <f>ROUND($P$8*(Table24[[#This Row],[SHL_TAR_IDPs]]*$AA$3+Table24[[#This Row],[SHL_TAR_HC]]*$AA$4+Table24[[#This Row],[SHL_TAR_NDP]]*$AA$5)/$AA$18,0)</f>
        <v>0</v>
      </c>
      <c r="AB129" s="49">
        <f>ROUND($P$8*(Table24[[#This Row],[SHL_TAR_IDPs]]*$AB$3+Table24[[#This Row],[SHL_TAR_HC]]*$AB$4+Table24[[#This Row],[SHL_TAR_NDP]]*$AB$5)/$AB$18,0)</f>
        <v>0</v>
      </c>
      <c r="AC129" s="49">
        <f>ROUND($Q$8*(Table24[[#This Row],[SHL_TAR_IDPs]]*$AC$3+Table24[[#This Row],[SHL_TAR_HC]]*$AC$4+Table24[[#This Row],[SHL_TAR_NDP]]*$AC$5)/$AC$18,0)</f>
        <v>0</v>
      </c>
      <c r="AD129" s="49">
        <f>ROUND($Q$8*(Table24[[#This Row],[SHL_TAR_IDPs]]*$AD$3+Table24[[#This Row],[SHL_TAR_HC]]*$AD$4+Table24[[#This Row],[SHL_TAR_NDP]]*$AD$5)/$AD$18,0)</f>
        <v>0</v>
      </c>
      <c r="AE129" s="49">
        <f>ROUND($Q$8*(Table24[[#This Row],[SHL_TAR_IDPs]]*$AE$3+Table24[[#This Row],[SHL_TAR_HC]]*$AE$4+Table24[[#This Row],[SHL_TAR_NDP]]*$AE$5)/$AE$18,0)</f>
        <v>0</v>
      </c>
      <c r="AF129" s="49">
        <f>ROUND($Q$8*(Table24[[#This Row],[SHL_TAR_IDPs]]*$AF$3+Table24[[#This Row],[SHL_TAR_HC]]*$AF$4+Table24[[#This Row],[SHL_TAR_NDP]]*$AF$5)/$AF$18,0)</f>
        <v>0</v>
      </c>
      <c r="AG129" s="49">
        <f>ROUND($Q$8*(Table24[[#This Row],[SHL_TAR_IDPs]]*$AG$3+Table24[[#This Row],[SHL_TAR_HC]]*$AG$4+Table24[[#This Row],[SHL_TAR_NDP]]*$AG$5)/$AG$18,0)</f>
        <v>0</v>
      </c>
      <c r="AH129" s="49">
        <f>ROUND($Q$8*(Table24[[#This Row],[SHL_TAR_IDPs]]*$AH$3+Table24[[#This Row],[SHL_TAR_HC]]*$AH$4+Table24[[#This Row],[SHL_TAR_NDP]]*$AH$5)/$AH$18,0)</f>
        <v>0</v>
      </c>
      <c r="AI129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</row>
    <row r="130" spans="1:38" x14ac:dyDescent="0.55000000000000004">
      <c r="A130" t="s">
        <v>451</v>
      </c>
      <c r="B130" t="s">
        <v>162</v>
      </c>
      <c r="C130" t="s">
        <v>352</v>
      </c>
      <c r="D130" s="58">
        <f>_xlfn.XLOOKUP($B130, 'Prioritization calculation'!D:D, 'Prioritization calculation'!X:X, "")</f>
        <v>3</v>
      </c>
      <c r="E130" s="58">
        <v>3</v>
      </c>
      <c r="F130" s="58">
        <v>3</v>
      </c>
      <c r="G130" s="58" t="s">
        <v>521</v>
      </c>
      <c r="H130" s="58">
        <v>1350</v>
      </c>
      <c r="I130" s="58">
        <v>0</v>
      </c>
      <c r="J130" s="58">
        <v>0</v>
      </c>
      <c r="K130" s="58"/>
      <c r="L130" s="58">
        <v>4440</v>
      </c>
      <c r="M130" s="58">
        <v>6737</v>
      </c>
      <c r="N130" s="58">
        <v>145.65046728971961</v>
      </c>
      <c r="O130" s="97">
        <f>SUM(Table24[[#This Row],[SHL_PIN_IDPs]:[SHL_PIN_NDP]])</f>
        <v>29121</v>
      </c>
      <c r="P130" s="98">
        <v>0</v>
      </c>
      <c r="Q130" s="98">
        <v>0</v>
      </c>
      <c r="R130" s="98">
        <v>29121</v>
      </c>
      <c r="S130" s="98">
        <f>ROUND(SUM(Table24[[#This Row],[SHL_TAR_IDPs]:[SHL_TAR_NDP]]),0)</f>
        <v>0</v>
      </c>
      <c r="T130" s="48">
        <f>SUM(Table24[[#This Row],[HIDE IDP]:[HIDE NDP]])</f>
        <v>2912</v>
      </c>
      <c r="U130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0</v>
      </c>
      <c r="V130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0</v>
      </c>
      <c r="W130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2912</v>
      </c>
      <c r="X130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0</v>
      </c>
      <c r="Y130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0</v>
      </c>
      <c r="Z130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130" s="49">
        <f>ROUND($P$8*(Table24[[#This Row],[SHL_TAR_IDPs]]*$AA$3+Table24[[#This Row],[SHL_TAR_HC]]*$AA$4+Table24[[#This Row],[SHL_TAR_NDP]]*$AA$5)/$AA$18,0)</f>
        <v>0</v>
      </c>
      <c r="AB130" s="49">
        <f>ROUND($P$8*(Table24[[#This Row],[SHL_TAR_IDPs]]*$AB$3+Table24[[#This Row],[SHL_TAR_HC]]*$AB$4+Table24[[#This Row],[SHL_TAR_NDP]]*$AB$5)/$AB$18,0)</f>
        <v>0</v>
      </c>
      <c r="AC130" s="49">
        <f>ROUND($Q$8*(Table24[[#This Row],[SHL_TAR_IDPs]]*$AC$3+Table24[[#This Row],[SHL_TAR_HC]]*$AC$4+Table24[[#This Row],[SHL_TAR_NDP]]*$AC$5)/$AC$18,0)</f>
        <v>0</v>
      </c>
      <c r="AD130" s="49">
        <f>ROUND($Q$8*(Table24[[#This Row],[SHL_TAR_IDPs]]*$AD$3+Table24[[#This Row],[SHL_TAR_HC]]*$AD$4+Table24[[#This Row],[SHL_TAR_NDP]]*$AD$5)/$AD$18,0)</f>
        <v>0</v>
      </c>
      <c r="AE130" s="49">
        <f>ROUND($Q$8*(Table24[[#This Row],[SHL_TAR_IDPs]]*$AE$3+Table24[[#This Row],[SHL_TAR_HC]]*$AE$4+Table24[[#This Row],[SHL_TAR_NDP]]*$AE$5)/$AE$18,0)</f>
        <v>0</v>
      </c>
      <c r="AF130" s="49">
        <f>ROUND($Q$8*(Table24[[#This Row],[SHL_TAR_IDPs]]*$AF$3+Table24[[#This Row],[SHL_TAR_HC]]*$AF$4+Table24[[#This Row],[SHL_TAR_NDP]]*$AF$5)/$AF$18,0)</f>
        <v>0</v>
      </c>
      <c r="AG130" s="49">
        <f>ROUND($Q$8*(Table24[[#This Row],[SHL_TAR_IDPs]]*$AG$3+Table24[[#This Row],[SHL_TAR_HC]]*$AG$4+Table24[[#This Row],[SHL_TAR_NDP]]*$AG$5)/$AG$18,0)</f>
        <v>0</v>
      </c>
      <c r="AH130" s="49">
        <f>ROUND($Q$8*(Table24[[#This Row],[SHL_TAR_IDPs]]*$AH$3+Table24[[#This Row],[SHL_TAR_HC]]*$AH$4+Table24[[#This Row],[SHL_TAR_NDP]]*$AH$5)/$AH$18,0)</f>
        <v>0</v>
      </c>
      <c r="AI130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</row>
    <row r="131" spans="1:38" x14ac:dyDescent="0.55000000000000004">
      <c r="A131" t="s">
        <v>451</v>
      </c>
      <c r="B131" t="s">
        <v>163</v>
      </c>
      <c r="C131" t="s">
        <v>353</v>
      </c>
      <c r="D131" s="58">
        <f>_xlfn.XLOOKUP($B131, 'Prioritization calculation'!D:D, 'Prioritization calculation'!X:X, "")</f>
        <v>2</v>
      </c>
      <c r="E131" s="58">
        <v>2</v>
      </c>
      <c r="F131" s="58">
        <v>3</v>
      </c>
      <c r="G131" s="58" t="s">
        <v>521</v>
      </c>
      <c r="H131" s="58">
        <v>135</v>
      </c>
      <c r="I131" s="58">
        <v>0</v>
      </c>
      <c r="J131" s="58">
        <v>0</v>
      </c>
      <c r="K131" s="58"/>
      <c r="L131" s="58">
        <v>290</v>
      </c>
      <c r="M131" s="58">
        <v>1624</v>
      </c>
      <c r="N131" s="58">
        <v>207.5</v>
      </c>
      <c r="O131" s="97">
        <f>SUM(Table24[[#This Row],[SHL_PIN_IDPs]:[SHL_PIN_NDP]])</f>
        <v>0</v>
      </c>
      <c r="P131" s="98">
        <v>0</v>
      </c>
      <c r="Q131" s="98">
        <v>0</v>
      </c>
      <c r="R131" s="98">
        <v>0</v>
      </c>
      <c r="S131" s="98">
        <f>ROUND(SUM(Table24[[#This Row],[SHL_TAR_IDPs]:[SHL_TAR_NDP]]),0)</f>
        <v>0</v>
      </c>
      <c r="T131" s="48">
        <f>SUM(Table24[[#This Row],[HIDE IDP]:[HIDE NDP]])</f>
        <v>0</v>
      </c>
      <c r="U131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0</v>
      </c>
      <c r="V131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0</v>
      </c>
      <c r="W131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0</v>
      </c>
      <c r="X131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0</v>
      </c>
      <c r="Y131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0</v>
      </c>
      <c r="Z131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131" s="49">
        <f>ROUND($P$8*(Table24[[#This Row],[SHL_TAR_IDPs]]*$AA$3+Table24[[#This Row],[SHL_TAR_HC]]*$AA$4+Table24[[#This Row],[SHL_TAR_NDP]]*$AA$5)/$AA$18,0)</f>
        <v>0</v>
      </c>
      <c r="AB131" s="49">
        <f>ROUND($P$8*(Table24[[#This Row],[SHL_TAR_IDPs]]*$AB$3+Table24[[#This Row],[SHL_TAR_HC]]*$AB$4+Table24[[#This Row],[SHL_TAR_NDP]]*$AB$5)/$AB$18,0)</f>
        <v>0</v>
      </c>
      <c r="AC131" s="49">
        <f>ROUND($Q$8*(Table24[[#This Row],[SHL_TAR_IDPs]]*$AC$3+Table24[[#This Row],[SHL_TAR_HC]]*$AC$4+Table24[[#This Row],[SHL_TAR_NDP]]*$AC$5)/$AC$18,0)</f>
        <v>0</v>
      </c>
      <c r="AD131" s="49">
        <f>ROUND($Q$8*(Table24[[#This Row],[SHL_TAR_IDPs]]*$AD$3+Table24[[#This Row],[SHL_TAR_HC]]*$AD$4+Table24[[#This Row],[SHL_TAR_NDP]]*$AD$5)/$AD$18,0)</f>
        <v>0</v>
      </c>
      <c r="AE131" s="49">
        <f>ROUND($Q$8*(Table24[[#This Row],[SHL_TAR_IDPs]]*$AE$3+Table24[[#This Row],[SHL_TAR_HC]]*$AE$4+Table24[[#This Row],[SHL_TAR_NDP]]*$AE$5)/$AE$18,0)</f>
        <v>0</v>
      </c>
      <c r="AF131" s="49">
        <f>ROUND($Q$8*(Table24[[#This Row],[SHL_TAR_IDPs]]*$AF$3+Table24[[#This Row],[SHL_TAR_HC]]*$AF$4+Table24[[#This Row],[SHL_TAR_NDP]]*$AF$5)/$AF$18,0)</f>
        <v>0</v>
      </c>
      <c r="AG131" s="49">
        <f>ROUND($Q$8*(Table24[[#This Row],[SHL_TAR_IDPs]]*$AG$3+Table24[[#This Row],[SHL_TAR_HC]]*$AG$4+Table24[[#This Row],[SHL_TAR_NDP]]*$AG$5)/$AG$18,0)</f>
        <v>0</v>
      </c>
      <c r="AH131" s="49">
        <f>ROUND($Q$8*(Table24[[#This Row],[SHL_TAR_IDPs]]*$AH$3+Table24[[#This Row],[SHL_TAR_HC]]*$AH$4+Table24[[#This Row],[SHL_TAR_NDP]]*$AH$5)/$AH$18,0)</f>
        <v>0</v>
      </c>
      <c r="AI131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</row>
    <row r="132" spans="1:38" x14ac:dyDescent="0.55000000000000004">
      <c r="A132" t="s">
        <v>451</v>
      </c>
      <c r="B132" t="s">
        <v>164</v>
      </c>
      <c r="C132" t="s">
        <v>354</v>
      </c>
      <c r="D132" s="58">
        <f>_xlfn.XLOOKUP($B132, 'Prioritization calculation'!D:D, 'Prioritization calculation'!X:X, "")</f>
        <v>2</v>
      </c>
      <c r="E132" s="58">
        <v>4</v>
      </c>
      <c r="F132" s="58">
        <v>3</v>
      </c>
      <c r="G132" s="58" t="s">
        <v>521</v>
      </c>
      <c r="H132" s="58">
        <v>101407</v>
      </c>
      <c r="I132" s="58">
        <v>17260</v>
      </c>
      <c r="J132" s="58">
        <v>18065</v>
      </c>
      <c r="K132" s="58"/>
      <c r="L132" s="58">
        <v>0</v>
      </c>
      <c r="M132" s="58">
        <v>51122</v>
      </c>
      <c r="N132" s="58">
        <v>500</v>
      </c>
      <c r="O132" s="97">
        <f>SUM(Table24[[#This Row],[SHL_PIN_IDPs]:[SHL_PIN_NDP]])</f>
        <v>95682</v>
      </c>
      <c r="P132" s="98">
        <v>68541</v>
      </c>
      <c r="Q132" s="98">
        <v>27141</v>
      </c>
      <c r="R132" s="98">
        <v>0</v>
      </c>
      <c r="S132" s="98">
        <f>ROUND(SUM(Table24[[#This Row],[SHL_TAR_IDPs]:[SHL_TAR_NDP]]),0)</f>
        <v>54153</v>
      </c>
      <c r="T132" s="48">
        <f>SUM(Table24[[#This Row],[HIDE IDP]:[HIDE NDP]])</f>
        <v>54153</v>
      </c>
      <c r="U132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41125</v>
      </c>
      <c r="V132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13028</v>
      </c>
      <c r="W132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0</v>
      </c>
      <c r="X132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41125</v>
      </c>
      <c r="Y132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13028</v>
      </c>
      <c r="Z132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132" s="49">
        <f>ROUND($P$8*(Table24[[#This Row],[SHL_TAR_IDPs]]*$AA$3+Table24[[#This Row],[SHL_TAR_HC]]*$AA$4+Table24[[#This Row],[SHL_TAR_NDP]]*$AA$5)/$AA$18,0)</f>
        <v>4603</v>
      </c>
      <c r="AB132" s="49">
        <f>ROUND($P$8*(Table24[[#This Row],[SHL_TAR_IDPs]]*$AB$3+Table24[[#This Row],[SHL_TAR_HC]]*$AB$4+Table24[[#This Row],[SHL_TAR_NDP]]*$AB$5)/$AB$18,0)</f>
        <v>4603</v>
      </c>
      <c r="AC132" s="49">
        <f>ROUND($Q$8*(Table24[[#This Row],[SHL_TAR_IDPs]]*$AC$3+Table24[[#This Row],[SHL_TAR_HC]]*$AC$4+Table24[[#This Row],[SHL_TAR_NDP]]*$AC$5)/$AC$18,0)</f>
        <v>411</v>
      </c>
      <c r="AD132" s="49">
        <f>ROUND($Q$8*(Table24[[#This Row],[SHL_TAR_IDPs]]*$AD$3+Table24[[#This Row],[SHL_TAR_HC]]*$AD$4+Table24[[#This Row],[SHL_TAR_NDP]]*$AD$5)/$AD$18,0)</f>
        <v>411</v>
      </c>
      <c r="AE132" s="49">
        <f>ROUND($Q$8*(Table24[[#This Row],[SHL_TAR_IDPs]]*$AE$3+Table24[[#This Row],[SHL_TAR_HC]]*$AE$4+Table24[[#This Row],[SHL_TAR_NDP]]*$AE$5)/$AE$18,0)</f>
        <v>542</v>
      </c>
      <c r="AF132" s="49">
        <f>ROUND($Q$8*(Table24[[#This Row],[SHL_TAR_IDPs]]*$AF$3+Table24[[#This Row],[SHL_TAR_HC]]*$AF$4+Table24[[#This Row],[SHL_TAR_NDP]]*$AF$5)/$AF$18,0)</f>
        <v>1083</v>
      </c>
      <c r="AG132" s="49">
        <f>ROUND($Q$8*(Table24[[#This Row],[SHL_TAR_IDPs]]*$AG$3+Table24[[#This Row],[SHL_TAR_HC]]*$AG$4+Table24[[#This Row],[SHL_TAR_NDP]]*$AG$5)/$AG$18,0)</f>
        <v>2015</v>
      </c>
      <c r="AH132" s="49">
        <f>ROUND($Q$8*(Table24[[#This Row],[SHL_TAR_IDPs]]*$AH$3+Table24[[#This Row],[SHL_TAR_HC]]*$AH$4+Table24[[#This Row],[SHL_TAR_NDP]]*$AH$5)/$AH$18,0)</f>
        <v>953</v>
      </c>
      <c r="AI132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</row>
    <row r="133" spans="1:38" x14ac:dyDescent="0.55000000000000004">
      <c r="A133" t="s">
        <v>451</v>
      </c>
      <c r="B133" t="s">
        <v>165</v>
      </c>
      <c r="C133" t="s">
        <v>355</v>
      </c>
      <c r="D133" s="58">
        <f>_xlfn.XLOOKUP($B133, 'Prioritization calculation'!D:D, 'Prioritization calculation'!X:X, "")</f>
        <v>2</v>
      </c>
      <c r="E133" s="58">
        <v>2</v>
      </c>
      <c r="F133" s="58">
        <v>3</v>
      </c>
      <c r="G133" s="58" t="s">
        <v>521</v>
      </c>
      <c r="H133" s="58">
        <v>625</v>
      </c>
      <c r="I133" s="58">
        <v>0</v>
      </c>
      <c r="J133" s="58">
        <v>0</v>
      </c>
      <c r="K133" s="58"/>
      <c r="L133" s="58">
        <v>0</v>
      </c>
      <c r="M133" s="58">
        <v>1283</v>
      </c>
      <c r="N133" s="58">
        <v>0</v>
      </c>
      <c r="O133" s="97">
        <f>SUM(Table24[[#This Row],[SHL_PIN_IDPs]:[SHL_PIN_NDP]])</f>
        <v>0</v>
      </c>
      <c r="P133" s="98">
        <v>0</v>
      </c>
      <c r="Q133" s="98">
        <v>0</v>
      </c>
      <c r="R133" s="98">
        <v>0</v>
      </c>
      <c r="S133" s="98">
        <f>ROUND(SUM(Table24[[#This Row],[SHL_TAR_IDPs]:[SHL_TAR_NDP]]),0)</f>
        <v>0</v>
      </c>
      <c r="T133" s="48">
        <f>SUM(Table24[[#This Row],[HIDE IDP]:[HIDE NDP]])</f>
        <v>0</v>
      </c>
      <c r="U133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0</v>
      </c>
      <c r="V133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0</v>
      </c>
      <c r="W133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0</v>
      </c>
      <c r="X133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0</v>
      </c>
      <c r="Y133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0</v>
      </c>
      <c r="Z133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133" s="49">
        <f>ROUND($P$8*(Table24[[#This Row],[SHL_TAR_IDPs]]*$AA$3+Table24[[#This Row],[SHL_TAR_HC]]*$AA$4+Table24[[#This Row],[SHL_TAR_NDP]]*$AA$5)/$AA$18,0)</f>
        <v>0</v>
      </c>
      <c r="AB133" s="49">
        <f>ROUND($P$8*(Table24[[#This Row],[SHL_TAR_IDPs]]*$AB$3+Table24[[#This Row],[SHL_TAR_HC]]*$AB$4+Table24[[#This Row],[SHL_TAR_NDP]]*$AB$5)/$AB$18,0)</f>
        <v>0</v>
      </c>
      <c r="AC133" s="49">
        <f>ROUND($Q$8*(Table24[[#This Row],[SHL_TAR_IDPs]]*$AC$3+Table24[[#This Row],[SHL_TAR_HC]]*$AC$4+Table24[[#This Row],[SHL_TAR_NDP]]*$AC$5)/$AC$18,0)</f>
        <v>0</v>
      </c>
      <c r="AD133" s="49">
        <f>ROUND($Q$8*(Table24[[#This Row],[SHL_TAR_IDPs]]*$AD$3+Table24[[#This Row],[SHL_TAR_HC]]*$AD$4+Table24[[#This Row],[SHL_TAR_NDP]]*$AD$5)/$AD$18,0)</f>
        <v>0</v>
      </c>
      <c r="AE133" s="49">
        <f>ROUND($Q$8*(Table24[[#This Row],[SHL_TAR_IDPs]]*$AE$3+Table24[[#This Row],[SHL_TAR_HC]]*$AE$4+Table24[[#This Row],[SHL_TAR_NDP]]*$AE$5)/$AE$18,0)</f>
        <v>0</v>
      </c>
      <c r="AF133" s="49">
        <f>ROUND($Q$8*(Table24[[#This Row],[SHL_TAR_IDPs]]*$AF$3+Table24[[#This Row],[SHL_TAR_HC]]*$AF$4+Table24[[#This Row],[SHL_TAR_NDP]]*$AF$5)/$AF$18,0)</f>
        <v>0</v>
      </c>
      <c r="AG133" s="49">
        <f>ROUND($Q$8*(Table24[[#This Row],[SHL_TAR_IDPs]]*$AG$3+Table24[[#This Row],[SHL_TAR_HC]]*$AG$4+Table24[[#This Row],[SHL_TAR_NDP]]*$AG$5)/$AG$18,0)</f>
        <v>0</v>
      </c>
      <c r="AH133" s="49">
        <f>ROUND($Q$8*(Table24[[#This Row],[SHL_TAR_IDPs]]*$AH$3+Table24[[#This Row],[SHL_TAR_HC]]*$AH$4+Table24[[#This Row],[SHL_TAR_NDP]]*$AH$5)/$AH$18,0)</f>
        <v>0</v>
      </c>
      <c r="AI133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</row>
    <row r="134" spans="1:38" x14ac:dyDescent="0.55000000000000004">
      <c r="A134" t="s">
        <v>451</v>
      </c>
      <c r="B134" t="s">
        <v>166</v>
      </c>
      <c r="C134" t="s">
        <v>356</v>
      </c>
      <c r="D134" s="58">
        <f>_xlfn.XLOOKUP($B134, 'Prioritization calculation'!D:D, 'Prioritization calculation'!X:X, "")</f>
        <v>2</v>
      </c>
      <c r="E134" s="58">
        <v>2</v>
      </c>
      <c r="F134" s="58">
        <v>3</v>
      </c>
      <c r="G134" s="58" t="s">
        <v>521</v>
      </c>
      <c r="H134" s="58">
        <v>1752</v>
      </c>
      <c r="I134" s="58">
        <v>0</v>
      </c>
      <c r="J134" s="58">
        <v>0</v>
      </c>
      <c r="K134" s="58"/>
      <c r="L134" s="58">
        <v>0</v>
      </c>
      <c r="M134" s="58">
        <v>3060</v>
      </c>
      <c r="N134" s="58">
        <v>0</v>
      </c>
      <c r="O134" s="97">
        <f>SUM(Table24[[#This Row],[SHL_PIN_IDPs]:[SHL_PIN_NDP]])</f>
        <v>0</v>
      </c>
      <c r="P134" s="98">
        <v>0</v>
      </c>
      <c r="Q134" s="98">
        <v>0</v>
      </c>
      <c r="R134" s="98">
        <v>0</v>
      </c>
      <c r="S134" s="98">
        <f>ROUND(SUM(Table24[[#This Row],[SHL_TAR_IDPs]:[SHL_TAR_NDP]]),0)</f>
        <v>0</v>
      </c>
      <c r="T134" s="48">
        <f>SUM(Table24[[#This Row],[HIDE IDP]:[HIDE NDP]])</f>
        <v>0</v>
      </c>
      <c r="U134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0</v>
      </c>
      <c r="V134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0</v>
      </c>
      <c r="W134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0</v>
      </c>
      <c r="X134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0</v>
      </c>
      <c r="Y134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0</v>
      </c>
      <c r="Z134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134" s="49">
        <f>ROUND($P$8*(Table24[[#This Row],[SHL_TAR_IDPs]]*$AA$3+Table24[[#This Row],[SHL_TAR_HC]]*$AA$4+Table24[[#This Row],[SHL_TAR_NDP]]*$AA$5)/$AA$18,0)</f>
        <v>0</v>
      </c>
      <c r="AB134" s="49">
        <f>ROUND($P$8*(Table24[[#This Row],[SHL_TAR_IDPs]]*$AB$3+Table24[[#This Row],[SHL_TAR_HC]]*$AB$4+Table24[[#This Row],[SHL_TAR_NDP]]*$AB$5)/$AB$18,0)</f>
        <v>0</v>
      </c>
      <c r="AC134" s="49">
        <f>ROUND($Q$8*(Table24[[#This Row],[SHL_TAR_IDPs]]*$AC$3+Table24[[#This Row],[SHL_TAR_HC]]*$AC$4+Table24[[#This Row],[SHL_TAR_NDP]]*$AC$5)/$AC$18,0)</f>
        <v>0</v>
      </c>
      <c r="AD134" s="49">
        <f>ROUND($Q$8*(Table24[[#This Row],[SHL_TAR_IDPs]]*$AD$3+Table24[[#This Row],[SHL_TAR_HC]]*$AD$4+Table24[[#This Row],[SHL_TAR_NDP]]*$AD$5)/$AD$18,0)</f>
        <v>0</v>
      </c>
      <c r="AE134" s="49">
        <f>ROUND($Q$8*(Table24[[#This Row],[SHL_TAR_IDPs]]*$AE$3+Table24[[#This Row],[SHL_TAR_HC]]*$AE$4+Table24[[#This Row],[SHL_TAR_NDP]]*$AE$5)/$AE$18,0)</f>
        <v>0</v>
      </c>
      <c r="AF134" s="49">
        <f>ROUND($Q$8*(Table24[[#This Row],[SHL_TAR_IDPs]]*$AF$3+Table24[[#This Row],[SHL_TAR_HC]]*$AF$4+Table24[[#This Row],[SHL_TAR_NDP]]*$AF$5)/$AF$18,0)</f>
        <v>0</v>
      </c>
      <c r="AG134" s="49">
        <f>ROUND($Q$8*(Table24[[#This Row],[SHL_TAR_IDPs]]*$AG$3+Table24[[#This Row],[SHL_TAR_HC]]*$AG$4+Table24[[#This Row],[SHL_TAR_NDP]]*$AG$5)/$AG$18,0)</f>
        <v>0</v>
      </c>
      <c r="AH134" s="49">
        <f>ROUND($Q$8*(Table24[[#This Row],[SHL_TAR_IDPs]]*$AH$3+Table24[[#This Row],[SHL_TAR_HC]]*$AH$4+Table24[[#This Row],[SHL_TAR_NDP]]*$AH$5)/$AH$18,0)</f>
        <v>0</v>
      </c>
      <c r="AI134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</row>
    <row r="135" spans="1:38" x14ac:dyDescent="0.55000000000000004">
      <c r="A135" t="s">
        <v>451</v>
      </c>
      <c r="B135" t="s">
        <v>167</v>
      </c>
      <c r="C135" t="s">
        <v>357</v>
      </c>
      <c r="D135" s="58">
        <f>_xlfn.XLOOKUP($B135, 'Prioritization calculation'!D:D, 'Prioritization calculation'!X:X, "")</f>
        <v>2</v>
      </c>
      <c r="E135" s="58">
        <v>2</v>
      </c>
      <c r="F135" s="58">
        <v>3</v>
      </c>
      <c r="G135" s="58" t="s">
        <v>521</v>
      </c>
      <c r="H135" s="58">
        <v>600</v>
      </c>
      <c r="I135" s="58">
        <v>2825</v>
      </c>
      <c r="J135" s="58">
        <v>0</v>
      </c>
      <c r="K135" s="58"/>
      <c r="L135" s="58">
        <v>43875</v>
      </c>
      <c r="M135" s="58">
        <v>3565</v>
      </c>
      <c r="N135" s="58">
        <v>0</v>
      </c>
      <c r="O135" s="97">
        <f>SUM(Table24[[#This Row],[SHL_PIN_IDPs]:[SHL_PIN_NDP]])</f>
        <v>0</v>
      </c>
      <c r="P135" s="98">
        <v>0</v>
      </c>
      <c r="Q135" s="98">
        <v>0</v>
      </c>
      <c r="R135" s="98">
        <v>0</v>
      </c>
      <c r="S135" s="98">
        <f>ROUND(SUM(Table24[[#This Row],[SHL_TAR_IDPs]:[SHL_TAR_NDP]]),0)</f>
        <v>0</v>
      </c>
      <c r="T135" s="48">
        <f>SUM(Table24[[#This Row],[HIDE IDP]:[HIDE NDP]])</f>
        <v>0</v>
      </c>
      <c r="U135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0</v>
      </c>
      <c r="V135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0</v>
      </c>
      <c r="W135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0</v>
      </c>
      <c r="X135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0</v>
      </c>
      <c r="Y135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0</v>
      </c>
      <c r="Z135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135" s="49">
        <f>ROUND($P$8*(Table24[[#This Row],[SHL_TAR_IDPs]]*$AA$3+Table24[[#This Row],[SHL_TAR_HC]]*$AA$4+Table24[[#This Row],[SHL_TAR_NDP]]*$AA$5)/$AA$18,0)</f>
        <v>0</v>
      </c>
      <c r="AB135" s="49">
        <f>ROUND($P$8*(Table24[[#This Row],[SHL_TAR_IDPs]]*$AB$3+Table24[[#This Row],[SHL_TAR_HC]]*$AB$4+Table24[[#This Row],[SHL_TAR_NDP]]*$AB$5)/$AB$18,0)</f>
        <v>0</v>
      </c>
      <c r="AC135" s="49">
        <f>ROUND($Q$8*(Table24[[#This Row],[SHL_TAR_IDPs]]*$AC$3+Table24[[#This Row],[SHL_TAR_HC]]*$AC$4+Table24[[#This Row],[SHL_TAR_NDP]]*$AC$5)/$AC$18,0)</f>
        <v>0</v>
      </c>
      <c r="AD135" s="49">
        <f>ROUND($Q$8*(Table24[[#This Row],[SHL_TAR_IDPs]]*$AD$3+Table24[[#This Row],[SHL_TAR_HC]]*$AD$4+Table24[[#This Row],[SHL_TAR_NDP]]*$AD$5)/$AD$18,0)</f>
        <v>0</v>
      </c>
      <c r="AE135" s="49">
        <f>ROUND($Q$8*(Table24[[#This Row],[SHL_TAR_IDPs]]*$AE$3+Table24[[#This Row],[SHL_TAR_HC]]*$AE$4+Table24[[#This Row],[SHL_TAR_NDP]]*$AE$5)/$AE$18,0)</f>
        <v>0</v>
      </c>
      <c r="AF135" s="49">
        <f>ROUND($Q$8*(Table24[[#This Row],[SHL_TAR_IDPs]]*$AF$3+Table24[[#This Row],[SHL_TAR_HC]]*$AF$4+Table24[[#This Row],[SHL_TAR_NDP]]*$AF$5)/$AF$18,0)</f>
        <v>0</v>
      </c>
      <c r="AG135" s="49">
        <f>ROUND($Q$8*(Table24[[#This Row],[SHL_TAR_IDPs]]*$AG$3+Table24[[#This Row],[SHL_TAR_HC]]*$AG$4+Table24[[#This Row],[SHL_TAR_NDP]]*$AG$5)/$AG$18,0)</f>
        <v>0</v>
      </c>
      <c r="AH135" s="49">
        <f>ROUND($Q$8*(Table24[[#This Row],[SHL_TAR_IDPs]]*$AH$3+Table24[[#This Row],[SHL_TAR_HC]]*$AH$4+Table24[[#This Row],[SHL_TAR_NDP]]*$AH$5)/$AH$18,0)</f>
        <v>0</v>
      </c>
      <c r="AI135" s="49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>0</v>
      </c>
    </row>
    <row r="136" spans="1:38" x14ac:dyDescent="0.55000000000000004">
      <c r="A136" t="s">
        <v>452</v>
      </c>
      <c r="B136" t="s">
        <v>168</v>
      </c>
      <c r="C136" t="s">
        <v>358</v>
      </c>
      <c r="D136" s="58">
        <f>_xlfn.XLOOKUP($B136, 'Prioritization calculation'!D:D, 'Prioritization calculation'!X:X, "")</f>
        <v>3</v>
      </c>
      <c r="E136" s="58">
        <v>3</v>
      </c>
      <c r="F136" s="58">
        <v>3</v>
      </c>
      <c r="G136" s="58" t="s">
        <v>521</v>
      </c>
      <c r="H136" s="98">
        <v>28100</v>
      </c>
      <c r="I136" s="58">
        <v>0</v>
      </c>
      <c r="J136" s="58">
        <v>0</v>
      </c>
      <c r="K136" s="58"/>
      <c r="L136" s="58">
        <v>6000</v>
      </c>
      <c r="M136" s="58">
        <v>12364</v>
      </c>
      <c r="N136" s="58">
        <v>0</v>
      </c>
      <c r="O136" s="97">
        <f>SUM(Table24[[#This Row],[SHL_PIN_IDPs]:[SHL_PIN_NDP]])</f>
        <v>16860</v>
      </c>
      <c r="P136" s="98">
        <v>11240</v>
      </c>
      <c r="Q136" s="98">
        <v>5620</v>
      </c>
      <c r="R136" s="98">
        <v>0</v>
      </c>
      <c r="S136" s="98">
        <f>ROUND(SUM(Table24[[#This Row],[SHL_TAR_IDPs]:[SHL_TAR_NDP]]),0)</f>
        <v>3147</v>
      </c>
      <c r="T136" s="48">
        <f>SUM(Table24[[#This Row],[HIDE IDP]:[HIDE NDP]])</f>
        <v>3147.2</v>
      </c>
      <c r="U136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2248</v>
      </c>
      <c r="V136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899.2</v>
      </c>
      <c r="W136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0</v>
      </c>
      <c r="X136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2248</v>
      </c>
      <c r="Y136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899.2</v>
      </c>
      <c r="Z136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136" s="49">
        <f>ROUND($P$8*(Table24[[#This Row],[SHL_TAR_IDPs]]*$AA$3+Table24[[#This Row],[SHL_TAR_HC]]*$AA$4+Table24[[#This Row],[SHL_TAR_NDP]]*$AA$5)/$AA$18,0)</f>
        <v>268</v>
      </c>
      <c r="AB136" s="49">
        <f>ROUND($P$8*(Table24[[#This Row],[SHL_TAR_IDPs]]*$AB$3+Table24[[#This Row],[SHL_TAR_HC]]*$AB$4+Table24[[#This Row],[SHL_TAR_NDP]]*$AB$5)/$AB$18,0)</f>
        <v>268</v>
      </c>
      <c r="AC136" s="49">
        <f>ROUND($Q$8*(Table24[[#This Row],[SHL_TAR_IDPs]]*$AC$3+Table24[[#This Row],[SHL_TAR_HC]]*$AC$4+Table24[[#This Row],[SHL_TAR_NDP]]*$AC$5)/$AC$18,0)</f>
        <v>22</v>
      </c>
      <c r="AD136" s="49">
        <f>ROUND($Q$8*(Table24[[#This Row],[SHL_TAR_IDPs]]*$AD$3+Table24[[#This Row],[SHL_TAR_HC]]*$AD$4+Table24[[#This Row],[SHL_TAR_NDP]]*$AD$5)/$AD$18,0)</f>
        <v>22</v>
      </c>
      <c r="AE136" s="49">
        <f>ROUND($Q$8*(Table24[[#This Row],[SHL_TAR_IDPs]]*$AE$3+Table24[[#This Row],[SHL_TAR_HC]]*$AE$4+Table24[[#This Row],[SHL_TAR_NDP]]*$AE$5)/$AE$18,0)</f>
        <v>31</v>
      </c>
      <c r="AF136" s="49">
        <f>ROUND($Q$8*(Table24[[#This Row],[SHL_TAR_IDPs]]*$AF$3+Table24[[#This Row],[SHL_TAR_HC]]*$AF$4+Table24[[#This Row],[SHL_TAR_NDP]]*$AF$5)/$AF$18,0)</f>
        <v>63</v>
      </c>
      <c r="AG136" s="49">
        <f>ROUND($Q$8*(Table24[[#This Row],[SHL_TAR_IDPs]]*$AG$3+Table24[[#This Row],[SHL_TAR_HC]]*$AG$4+Table24[[#This Row],[SHL_TAR_NDP]]*$AG$5)/$AG$18,0)</f>
        <v>121</v>
      </c>
      <c r="AH136" s="49">
        <f>ROUND($Q$8*(Table24[[#This Row],[SHL_TAR_IDPs]]*$AH$3+Table24[[#This Row],[SHL_TAR_HC]]*$AH$4+Table24[[#This Row],[SHL_TAR_NDP]]*$AH$5)/$AH$18,0)</f>
        <v>54</v>
      </c>
      <c r="AI136" s="49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>27</v>
      </c>
    </row>
    <row r="137" spans="1:38" x14ac:dyDescent="0.55000000000000004">
      <c r="A137" t="s">
        <v>452</v>
      </c>
      <c r="B137" t="s">
        <v>169</v>
      </c>
      <c r="C137" t="s">
        <v>359</v>
      </c>
      <c r="D137" s="58">
        <f>_xlfn.XLOOKUP($B137, 'Prioritization calculation'!D:D, 'Prioritization calculation'!X:X, "")</f>
        <v>3</v>
      </c>
      <c r="E137" s="58">
        <v>4</v>
      </c>
      <c r="F137" s="58">
        <v>3</v>
      </c>
      <c r="G137" s="58" t="s">
        <v>521</v>
      </c>
      <c r="H137" s="58">
        <v>101083</v>
      </c>
      <c r="I137" s="58">
        <v>0</v>
      </c>
      <c r="J137" s="58">
        <v>0</v>
      </c>
      <c r="K137" s="58"/>
      <c r="L137" s="58">
        <v>6160</v>
      </c>
      <c r="M137" s="58">
        <v>48357</v>
      </c>
      <c r="N137" s="58">
        <v>0</v>
      </c>
      <c r="O137" s="97">
        <f>SUM(Table24[[#This Row],[SHL_PIN_IDPs]:[SHL_PIN_NDP]])</f>
        <v>87923</v>
      </c>
      <c r="P137" s="98">
        <v>65942</v>
      </c>
      <c r="Q137" s="98">
        <v>21981</v>
      </c>
      <c r="R137" s="98">
        <v>0</v>
      </c>
      <c r="S137" s="98">
        <f>ROUND(SUM(Table24[[#This Row],[SHL_TAR_IDPs]:[SHL_TAR_NDP]]),0)</f>
        <v>33411</v>
      </c>
      <c r="T137" s="48">
        <f>SUM(Table24[[#This Row],[HIDE IDP]:[HIDE NDP]])</f>
        <v>33410.6</v>
      </c>
      <c r="U137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26377</v>
      </c>
      <c r="V137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7033.6</v>
      </c>
      <c r="W137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0</v>
      </c>
      <c r="X137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26377</v>
      </c>
      <c r="Y137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7033.6</v>
      </c>
      <c r="Z137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137" s="49">
        <f>ROUND($P$8*(Table24[[#This Row],[SHL_TAR_IDPs]]*$AA$3+Table24[[#This Row],[SHL_TAR_HC]]*$AA$4+Table24[[#This Row],[SHL_TAR_NDP]]*$AA$5)/$AA$18,0)</f>
        <v>2840</v>
      </c>
      <c r="AB137" s="49">
        <f>ROUND($P$8*(Table24[[#This Row],[SHL_TAR_IDPs]]*$AB$3+Table24[[#This Row],[SHL_TAR_HC]]*$AB$4+Table24[[#This Row],[SHL_TAR_NDP]]*$AB$5)/$AB$18,0)</f>
        <v>2840</v>
      </c>
      <c r="AC137" s="49">
        <f>ROUND($Q$8*(Table24[[#This Row],[SHL_TAR_IDPs]]*$AC$3+Table24[[#This Row],[SHL_TAR_HC]]*$AC$4+Table24[[#This Row],[SHL_TAR_NDP]]*$AC$5)/$AC$18,0)</f>
        <v>264</v>
      </c>
      <c r="AD137" s="49">
        <f>ROUND($Q$8*(Table24[[#This Row],[SHL_TAR_IDPs]]*$AD$3+Table24[[#This Row],[SHL_TAR_HC]]*$AD$4+Table24[[#This Row],[SHL_TAR_NDP]]*$AD$5)/$AD$18,0)</f>
        <v>264</v>
      </c>
      <c r="AE137" s="49">
        <f>ROUND($Q$8*(Table24[[#This Row],[SHL_TAR_IDPs]]*$AE$3+Table24[[#This Row],[SHL_TAR_HC]]*$AE$4+Table24[[#This Row],[SHL_TAR_NDP]]*$AE$5)/$AE$18,0)</f>
        <v>334</v>
      </c>
      <c r="AF137" s="49">
        <f>ROUND($Q$8*(Table24[[#This Row],[SHL_TAR_IDPs]]*$AF$3+Table24[[#This Row],[SHL_TAR_HC]]*$AF$4+Table24[[#This Row],[SHL_TAR_NDP]]*$AF$5)/$AF$18,0)</f>
        <v>668</v>
      </c>
      <c r="AG137" s="49">
        <f>ROUND($Q$8*(Table24[[#This Row],[SHL_TAR_IDPs]]*$AG$3+Table24[[#This Row],[SHL_TAR_HC]]*$AG$4+Table24[[#This Row],[SHL_TAR_NDP]]*$AG$5)/$AG$18,0)</f>
        <v>1213</v>
      </c>
      <c r="AH137" s="49">
        <f>ROUND($Q$8*(Table24[[#This Row],[SHL_TAR_IDPs]]*$AH$3+Table24[[#This Row],[SHL_TAR_HC]]*$AH$4+Table24[[#This Row],[SHL_TAR_NDP]]*$AH$5)/$AH$18,0)</f>
        <v>598</v>
      </c>
      <c r="AI137" s="49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>299</v>
      </c>
      <c r="AK137" s="101">
        <v>0.12</v>
      </c>
      <c r="AL137" s="102"/>
    </row>
    <row r="138" spans="1:38" x14ac:dyDescent="0.55000000000000004">
      <c r="A138" t="s">
        <v>452</v>
      </c>
      <c r="B138" t="s">
        <v>170</v>
      </c>
      <c r="C138" t="s">
        <v>360</v>
      </c>
      <c r="D138" s="58">
        <f>_xlfn.XLOOKUP($B138, 'Prioritization calculation'!D:D, 'Prioritization calculation'!X:X, "")</f>
        <v>3</v>
      </c>
      <c r="E138" s="58">
        <v>3</v>
      </c>
      <c r="F138" s="58">
        <v>3</v>
      </c>
      <c r="G138" s="58" t="s">
        <v>521</v>
      </c>
      <c r="H138" s="98">
        <v>31152</v>
      </c>
      <c r="I138" s="58">
        <v>0</v>
      </c>
      <c r="J138" s="58">
        <v>0</v>
      </c>
      <c r="K138" s="58"/>
      <c r="L138" s="58">
        <v>0</v>
      </c>
      <c r="M138" s="58">
        <v>13707</v>
      </c>
      <c r="N138" s="58">
        <v>0</v>
      </c>
      <c r="O138" s="97">
        <f>SUM(Table24[[#This Row],[SHL_PIN_IDPs]:[SHL_PIN_NDP]])</f>
        <v>18691</v>
      </c>
      <c r="P138" s="98">
        <v>12461</v>
      </c>
      <c r="Q138" s="98">
        <v>6230</v>
      </c>
      <c r="R138" s="98">
        <v>0</v>
      </c>
      <c r="S138" s="98">
        <f>ROUND(SUM(Table24[[#This Row],[SHL_TAR_IDPs]:[SHL_TAR_NDP]]),0)</f>
        <v>3489</v>
      </c>
      <c r="T138" s="48">
        <f>SUM(Table24[[#This Row],[HIDE IDP]:[HIDE NDP]])</f>
        <v>3488.8</v>
      </c>
      <c r="U138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2492</v>
      </c>
      <c r="V138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996.80000000000007</v>
      </c>
      <c r="W138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0</v>
      </c>
      <c r="X138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2492</v>
      </c>
      <c r="Y138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996.80000000000007</v>
      </c>
      <c r="Z138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138" s="49">
        <f>ROUND($P$8*(Table24[[#This Row],[SHL_TAR_IDPs]]*$AA$3+Table24[[#This Row],[SHL_TAR_HC]]*$AA$4+Table24[[#This Row],[SHL_TAR_NDP]]*$AA$5)/$AA$18,0)</f>
        <v>297</v>
      </c>
      <c r="AB138" s="49">
        <f>ROUND($P$8*(Table24[[#This Row],[SHL_TAR_IDPs]]*$AB$3+Table24[[#This Row],[SHL_TAR_HC]]*$AB$4+Table24[[#This Row],[SHL_TAR_NDP]]*$AB$5)/$AB$18,0)</f>
        <v>297</v>
      </c>
      <c r="AC138" s="49">
        <f>ROUND($Q$8*(Table24[[#This Row],[SHL_TAR_IDPs]]*$AC$3+Table24[[#This Row],[SHL_TAR_HC]]*$AC$4+Table24[[#This Row],[SHL_TAR_NDP]]*$AC$5)/$AC$18,0)</f>
        <v>25</v>
      </c>
      <c r="AD138" s="49">
        <f>ROUND($Q$8*(Table24[[#This Row],[SHL_TAR_IDPs]]*$AD$3+Table24[[#This Row],[SHL_TAR_HC]]*$AD$4+Table24[[#This Row],[SHL_TAR_NDP]]*$AD$5)/$AD$18,0)</f>
        <v>25</v>
      </c>
      <c r="AE138" s="49">
        <f>ROUND($Q$8*(Table24[[#This Row],[SHL_TAR_IDPs]]*$AE$3+Table24[[#This Row],[SHL_TAR_HC]]*$AE$4+Table24[[#This Row],[SHL_TAR_NDP]]*$AE$5)/$AE$18,0)</f>
        <v>35</v>
      </c>
      <c r="AF138" s="49">
        <f>ROUND($Q$8*(Table24[[#This Row],[SHL_TAR_IDPs]]*$AF$3+Table24[[#This Row],[SHL_TAR_HC]]*$AF$4+Table24[[#This Row],[SHL_TAR_NDP]]*$AF$5)/$AF$18,0)</f>
        <v>70</v>
      </c>
      <c r="AG138" s="49">
        <f>ROUND($Q$8*(Table24[[#This Row],[SHL_TAR_IDPs]]*$AG$3+Table24[[#This Row],[SHL_TAR_HC]]*$AG$4+Table24[[#This Row],[SHL_TAR_NDP]]*$AG$5)/$AG$18,0)</f>
        <v>135</v>
      </c>
      <c r="AH138" s="49">
        <f>ROUND($Q$8*(Table24[[#This Row],[SHL_TAR_IDPs]]*$AH$3+Table24[[#This Row],[SHL_TAR_HC]]*$AH$4+Table24[[#This Row],[SHL_TAR_NDP]]*$AH$5)/$AH$18,0)</f>
        <v>60</v>
      </c>
      <c r="AI138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  <c r="AK138" s="101">
        <v>0.12</v>
      </c>
      <c r="AL138" s="102"/>
    </row>
    <row r="139" spans="1:38" x14ac:dyDescent="0.55000000000000004">
      <c r="A139" t="s">
        <v>452</v>
      </c>
      <c r="B139" t="s">
        <v>171</v>
      </c>
      <c r="C139" t="s">
        <v>361</v>
      </c>
      <c r="D139" s="58">
        <f>_xlfn.XLOOKUP($B139, 'Prioritization calculation'!D:D, 'Prioritization calculation'!X:X, "")</f>
        <v>3</v>
      </c>
      <c r="E139" s="58">
        <v>4</v>
      </c>
      <c r="F139" s="58">
        <v>3</v>
      </c>
      <c r="G139" s="58" t="s">
        <v>521</v>
      </c>
      <c r="H139" s="58">
        <v>92682</v>
      </c>
      <c r="I139" s="58">
        <v>0</v>
      </c>
      <c r="J139" s="58">
        <v>0</v>
      </c>
      <c r="K139" s="58"/>
      <c r="L139" s="58">
        <v>4390</v>
      </c>
      <c r="M139" s="58">
        <v>42181</v>
      </c>
      <c r="N139" s="58">
        <v>5000</v>
      </c>
      <c r="O139" s="97">
        <f>SUM(Table24[[#This Row],[SHL_PIN_IDPs]:[SHL_PIN_NDP]])</f>
        <v>76693</v>
      </c>
      <c r="P139" s="98">
        <v>57520</v>
      </c>
      <c r="Q139" s="98">
        <v>19173</v>
      </c>
      <c r="R139" s="98">
        <v>0</v>
      </c>
      <c r="S139" s="98">
        <f>ROUND(SUM(Table24[[#This Row],[SHL_TAR_IDPs]:[SHL_TAR_NDP]]),0)</f>
        <v>29143</v>
      </c>
      <c r="T139" s="48">
        <f>SUM(Table24[[#This Row],[HIDE IDP]:[HIDE NDP]])</f>
        <v>29143.200000000001</v>
      </c>
      <c r="U139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23008</v>
      </c>
      <c r="V139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6135.2000000000007</v>
      </c>
      <c r="W139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0</v>
      </c>
      <c r="X139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23008</v>
      </c>
      <c r="Y139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6135.2000000000007</v>
      </c>
      <c r="Z139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139" s="49">
        <f>ROUND($P$8*(Table24[[#This Row],[SHL_TAR_IDPs]]*$AA$3+Table24[[#This Row],[SHL_TAR_HC]]*$AA$4+Table24[[#This Row],[SHL_TAR_NDP]]*$AA$5)/$AA$18,0)</f>
        <v>2477</v>
      </c>
      <c r="AB139" s="49">
        <f>ROUND($P$8*(Table24[[#This Row],[SHL_TAR_IDPs]]*$AB$3+Table24[[#This Row],[SHL_TAR_HC]]*$AB$4+Table24[[#This Row],[SHL_TAR_NDP]]*$AB$5)/$AB$18,0)</f>
        <v>2477</v>
      </c>
      <c r="AC139" s="49">
        <f>ROUND($Q$8*(Table24[[#This Row],[SHL_TAR_IDPs]]*$AC$3+Table24[[#This Row],[SHL_TAR_HC]]*$AC$4+Table24[[#This Row],[SHL_TAR_NDP]]*$AC$5)/$AC$18,0)</f>
        <v>230</v>
      </c>
      <c r="AD139" s="49">
        <f>ROUND($Q$8*(Table24[[#This Row],[SHL_TAR_IDPs]]*$AD$3+Table24[[#This Row],[SHL_TAR_HC]]*$AD$4+Table24[[#This Row],[SHL_TAR_NDP]]*$AD$5)/$AD$18,0)</f>
        <v>230</v>
      </c>
      <c r="AE139" s="49">
        <f>ROUND($Q$8*(Table24[[#This Row],[SHL_TAR_IDPs]]*$AE$3+Table24[[#This Row],[SHL_TAR_HC]]*$AE$4+Table24[[#This Row],[SHL_TAR_NDP]]*$AE$5)/$AE$18,0)</f>
        <v>291</v>
      </c>
      <c r="AF139" s="49">
        <f>ROUND($Q$8*(Table24[[#This Row],[SHL_TAR_IDPs]]*$AF$3+Table24[[#This Row],[SHL_TAR_HC]]*$AF$4+Table24[[#This Row],[SHL_TAR_NDP]]*$AF$5)/$AF$18,0)</f>
        <v>583</v>
      </c>
      <c r="AG139" s="49">
        <f>ROUND($Q$8*(Table24[[#This Row],[SHL_TAR_IDPs]]*$AG$3+Table24[[#This Row],[SHL_TAR_HC]]*$AG$4+Table24[[#This Row],[SHL_TAR_NDP]]*$AG$5)/$AG$18,0)</f>
        <v>1058</v>
      </c>
      <c r="AH139" s="49">
        <f>ROUND($Q$8*(Table24[[#This Row],[SHL_TAR_IDPs]]*$AH$3+Table24[[#This Row],[SHL_TAR_HC]]*$AH$4+Table24[[#This Row],[SHL_TAR_NDP]]*$AH$5)/$AH$18,0)</f>
        <v>522</v>
      </c>
      <c r="AI139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  <c r="AK139" s="101">
        <v>0.02</v>
      </c>
      <c r="AL139" s="102"/>
    </row>
    <row r="140" spans="1:38" x14ac:dyDescent="0.55000000000000004">
      <c r="A140" t="s">
        <v>452</v>
      </c>
      <c r="B140" t="s">
        <v>172</v>
      </c>
      <c r="C140" t="s">
        <v>362</v>
      </c>
      <c r="D140" s="58">
        <f>_xlfn.XLOOKUP($B140, 'Prioritization calculation'!D:D, 'Prioritization calculation'!X:X, "")</f>
        <v>3</v>
      </c>
      <c r="E140" s="58">
        <v>4</v>
      </c>
      <c r="F140" s="58">
        <v>3</v>
      </c>
      <c r="G140" s="58" t="s">
        <v>521</v>
      </c>
      <c r="H140" s="58">
        <v>97575</v>
      </c>
      <c r="I140" s="58">
        <v>0</v>
      </c>
      <c r="J140" s="58">
        <v>0</v>
      </c>
      <c r="K140" s="58"/>
      <c r="L140" s="58">
        <v>2410</v>
      </c>
      <c r="M140" s="58">
        <v>44991</v>
      </c>
      <c r="N140" s="58">
        <v>0</v>
      </c>
      <c r="O140" s="97">
        <f>SUM(Table24[[#This Row],[SHL_PIN_IDPs]:[SHL_PIN_NDP]])</f>
        <v>81993</v>
      </c>
      <c r="P140" s="98">
        <v>61269</v>
      </c>
      <c r="Q140" s="98">
        <v>20724</v>
      </c>
      <c r="R140" s="98">
        <v>0</v>
      </c>
      <c r="S140" s="98">
        <f>ROUND(SUM(Table24[[#This Row],[SHL_TAR_IDPs]:[SHL_TAR_NDP]]),0)</f>
        <v>31140</v>
      </c>
      <c r="T140" s="48">
        <f>SUM(Table24[[#This Row],[HIDE IDP]:[HIDE NDP]])</f>
        <v>31140</v>
      </c>
      <c r="U140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24508</v>
      </c>
      <c r="V140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6632</v>
      </c>
      <c r="W140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0</v>
      </c>
      <c r="X140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24508</v>
      </c>
      <c r="Y140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6632</v>
      </c>
      <c r="Z140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140" s="49">
        <f>ROUND($P$8*(Table24[[#This Row],[SHL_TAR_IDPs]]*$AA$3+Table24[[#This Row],[SHL_TAR_HC]]*$AA$4+Table24[[#This Row],[SHL_TAR_NDP]]*$AA$5)/$AA$18,0)</f>
        <v>2647</v>
      </c>
      <c r="AB140" s="49">
        <f>ROUND($P$8*(Table24[[#This Row],[SHL_TAR_IDPs]]*$AB$3+Table24[[#This Row],[SHL_TAR_HC]]*$AB$4+Table24[[#This Row],[SHL_TAR_NDP]]*$AB$5)/$AB$18,0)</f>
        <v>2647</v>
      </c>
      <c r="AC140" s="49">
        <f>ROUND($Q$8*(Table24[[#This Row],[SHL_TAR_IDPs]]*$AC$3+Table24[[#This Row],[SHL_TAR_HC]]*$AC$4+Table24[[#This Row],[SHL_TAR_NDP]]*$AC$5)/$AC$18,0)</f>
        <v>245</v>
      </c>
      <c r="AD140" s="49">
        <f>ROUND($Q$8*(Table24[[#This Row],[SHL_TAR_IDPs]]*$AD$3+Table24[[#This Row],[SHL_TAR_HC]]*$AD$4+Table24[[#This Row],[SHL_TAR_NDP]]*$AD$5)/$AD$18,0)</f>
        <v>245</v>
      </c>
      <c r="AE140" s="49">
        <f>ROUND($Q$8*(Table24[[#This Row],[SHL_TAR_IDPs]]*$AE$3+Table24[[#This Row],[SHL_TAR_HC]]*$AE$4+Table24[[#This Row],[SHL_TAR_NDP]]*$AE$5)/$AE$18,0)</f>
        <v>311</v>
      </c>
      <c r="AF140" s="49">
        <f>ROUND($Q$8*(Table24[[#This Row],[SHL_TAR_IDPs]]*$AF$3+Table24[[#This Row],[SHL_TAR_HC]]*$AF$4+Table24[[#This Row],[SHL_TAR_NDP]]*$AF$5)/$AF$18,0)</f>
        <v>623</v>
      </c>
      <c r="AG140" s="49">
        <f>ROUND($Q$8*(Table24[[#This Row],[SHL_TAR_IDPs]]*$AG$3+Table24[[#This Row],[SHL_TAR_HC]]*$AG$4+Table24[[#This Row],[SHL_TAR_NDP]]*$AG$5)/$AG$18,0)</f>
        <v>1133</v>
      </c>
      <c r="AH140" s="49">
        <f>ROUND($Q$8*(Table24[[#This Row],[SHL_TAR_IDPs]]*$AH$3+Table24[[#This Row],[SHL_TAR_HC]]*$AH$4+Table24[[#This Row],[SHL_TAR_NDP]]*$AH$5)/$AH$18,0)</f>
        <v>556</v>
      </c>
      <c r="AI140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  <c r="AK140" s="101">
        <v>8.5000000000000006E-2</v>
      </c>
      <c r="AL140" s="102"/>
    </row>
    <row r="141" spans="1:38" x14ac:dyDescent="0.55000000000000004">
      <c r="A141" t="s">
        <v>452</v>
      </c>
      <c r="B141" t="s">
        <v>173</v>
      </c>
      <c r="C141" t="s">
        <v>363</v>
      </c>
      <c r="D141" s="58">
        <f>_xlfn.XLOOKUP($B141, 'Prioritization calculation'!D:D, 'Prioritization calculation'!X:X, "")</f>
        <v>3</v>
      </c>
      <c r="E141" s="58">
        <v>3</v>
      </c>
      <c r="F141" s="58">
        <v>4</v>
      </c>
      <c r="G141" s="58" t="s">
        <v>521</v>
      </c>
      <c r="H141" s="58">
        <v>48501</v>
      </c>
      <c r="I141" s="58">
        <v>8150</v>
      </c>
      <c r="J141" s="58">
        <v>0</v>
      </c>
      <c r="K141" s="58"/>
      <c r="L141" s="58">
        <v>21065</v>
      </c>
      <c r="M141" s="58">
        <v>21432</v>
      </c>
      <c r="N141" s="58">
        <v>0</v>
      </c>
      <c r="O141" s="97">
        <f>SUM(Table24[[#This Row],[SHL_PIN_IDPs]:[SHL_PIN_NDP]])</f>
        <v>29389</v>
      </c>
      <c r="P141" s="98">
        <v>19442</v>
      </c>
      <c r="Q141" s="98">
        <v>9947</v>
      </c>
      <c r="R141" s="98">
        <v>0</v>
      </c>
      <c r="S141" s="98">
        <f>ROUND(SUM(Table24[[#This Row],[SHL_TAR_IDPs]:[SHL_TAR_NDP]]),0)</f>
        <v>5479</v>
      </c>
      <c r="T141" s="48">
        <f>SUM(Table24[[#This Row],[HIDE IDP]:[HIDE NDP]])</f>
        <v>5479.2</v>
      </c>
      <c r="U141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3888</v>
      </c>
      <c r="V141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1591.2</v>
      </c>
      <c r="W141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0</v>
      </c>
      <c r="X141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3888</v>
      </c>
      <c r="Y141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1591.2</v>
      </c>
      <c r="Z141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141" s="49">
        <f>ROUND($P$8*(Table24[[#This Row],[SHL_TAR_IDPs]]*$AA$3+Table24[[#This Row],[SHL_TAR_HC]]*$AA$4+Table24[[#This Row],[SHL_TAR_NDP]]*$AA$5)/$AA$18,0)</f>
        <v>466</v>
      </c>
      <c r="AB141" s="49">
        <f>ROUND($P$8*(Table24[[#This Row],[SHL_TAR_IDPs]]*$AB$3+Table24[[#This Row],[SHL_TAR_HC]]*$AB$4+Table24[[#This Row],[SHL_TAR_NDP]]*$AB$5)/$AB$18,0)</f>
        <v>466</v>
      </c>
      <c r="AC141" s="49">
        <f>ROUND($Q$8*(Table24[[#This Row],[SHL_TAR_IDPs]]*$AC$3+Table24[[#This Row],[SHL_TAR_HC]]*$AC$4+Table24[[#This Row],[SHL_TAR_NDP]]*$AC$5)/$AC$18,0)</f>
        <v>39</v>
      </c>
      <c r="AD141" s="49">
        <f>ROUND($Q$8*(Table24[[#This Row],[SHL_TAR_IDPs]]*$AD$3+Table24[[#This Row],[SHL_TAR_HC]]*$AD$4+Table24[[#This Row],[SHL_TAR_NDP]]*$AD$5)/$AD$18,0)</f>
        <v>39</v>
      </c>
      <c r="AE141" s="49">
        <f>ROUND($Q$8*(Table24[[#This Row],[SHL_TAR_IDPs]]*$AE$3+Table24[[#This Row],[SHL_TAR_HC]]*$AE$4+Table24[[#This Row],[SHL_TAR_NDP]]*$AE$5)/$AE$18,0)</f>
        <v>55</v>
      </c>
      <c r="AF141" s="49">
        <f>ROUND($Q$8*(Table24[[#This Row],[SHL_TAR_IDPs]]*$AF$3+Table24[[#This Row],[SHL_TAR_HC]]*$AF$4+Table24[[#This Row],[SHL_TAR_NDP]]*$AF$5)/$AF$18,0)</f>
        <v>110</v>
      </c>
      <c r="AG141" s="49">
        <f>ROUND($Q$8*(Table24[[#This Row],[SHL_TAR_IDPs]]*$AG$3+Table24[[#This Row],[SHL_TAR_HC]]*$AG$4+Table24[[#This Row],[SHL_TAR_NDP]]*$AG$5)/$AG$18,0)</f>
        <v>212</v>
      </c>
      <c r="AH141" s="49">
        <f>ROUND($Q$8*(Table24[[#This Row],[SHL_TAR_IDPs]]*$AH$3+Table24[[#This Row],[SHL_TAR_HC]]*$AH$4+Table24[[#This Row],[SHL_TAR_NDP]]*$AH$5)/$AH$18,0)</f>
        <v>94</v>
      </c>
      <c r="AI141" s="49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>47</v>
      </c>
      <c r="AK141" s="101">
        <v>8.2000000000000003E-2</v>
      </c>
      <c r="AL141" s="102"/>
    </row>
    <row r="142" spans="1:38" x14ac:dyDescent="0.55000000000000004">
      <c r="A142" t="s">
        <v>452</v>
      </c>
      <c r="B142" t="s">
        <v>174</v>
      </c>
      <c r="C142" t="s">
        <v>364</v>
      </c>
      <c r="D142" s="58">
        <f>_xlfn.XLOOKUP($B142, 'Prioritization calculation'!D:D, 'Prioritization calculation'!X:X, "")</f>
        <v>3</v>
      </c>
      <c r="E142" s="58">
        <v>4</v>
      </c>
      <c r="F142" s="58">
        <v>3</v>
      </c>
      <c r="G142" s="58" t="s">
        <v>521</v>
      </c>
      <c r="H142" s="58">
        <v>100000</v>
      </c>
      <c r="I142" s="58">
        <v>0</v>
      </c>
      <c r="J142" s="58">
        <v>0</v>
      </c>
      <c r="K142" s="58"/>
      <c r="L142" s="58">
        <v>11440</v>
      </c>
      <c r="M142" s="58">
        <v>44045</v>
      </c>
      <c r="N142" s="58">
        <v>1041.2020856052343</v>
      </c>
      <c r="O142" s="97">
        <f>SUM(Table24[[#This Row],[SHL_PIN_IDPs]:[SHL_PIN_NDP]])</f>
        <v>80226</v>
      </c>
      <c r="P142" s="98">
        <v>60000</v>
      </c>
      <c r="Q142" s="98">
        <v>20226</v>
      </c>
      <c r="R142" s="98">
        <v>0</v>
      </c>
      <c r="S142" s="98">
        <f>ROUND(SUM(Table24[[#This Row],[SHL_TAR_IDPs]:[SHL_TAR_NDP]]),0)</f>
        <v>30472</v>
      </c>
      <c r="T142" s="48">
        <f>SUM(Table24[[#This Row],[HIDE IDP]:[HIDE NDP]])</f>
        <v>30472</v>
      </c>
      <c r="U142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24000</v>
      </c>
      <c r="V142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6472</v>
      </c>
      <c r="W142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0</v>
      </c>
      <c r="X142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24000</v>
      </c>
      <c r="Y142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6472</v>
      </c>
      <c r="Z142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142" s="49">
        <f>ROUND($P$8*(Table24[[#This Row],[SHL_TAR_IDPs]]*$AA$3+Table24[[#This Row],[SHL_TAR_HC]]*$AA$4+Table24[[#This Row],[SHL_TAR_NDP]]*$AA$5)/$AA$18,0)</f>
        <v>2590</v>
      </c>
      <c r="AB142" s="49">
        <f>ROUND($P$8*(Table24[[#This Row],[SHL_TAR_IDPs]]*$AB$3+Table24[[#This Row],[SHL_TAR_HC]]*$AB$4+Table24[[#This Row],[SHL_TAR_NDP]]*$AB$5)/$AB$18,0)</f>
        <v>2590</v>
      </c>
      <c r="AC142" s="49">
        <f>ROUND($Q$8*(Table24[[#This Row],[SHL_TAR_IDPs]]*$AC$3+Table24[[#This Row],[SHL_TAR_HC]]*$AC$4+Table24[[#This Row],[SHL_TAR_NDP]]*$AC$5)/$AC$18,0)</f>
        <v>240</v>
      </c>
      <c r="AD142" s="49">
        <f>ROUND($Q$8*(Table24[[#This Row],[SHL_TAR_IDPs]]*$AD$3+Table24[[#This Row],[SHL_TAR_HC]]*$AD$4+Table24[[#This Row],[SHL_TAR_NDP]]*$AD$5)/$AD$18,0)</f>
        <v>240</v>
      </c>
      <c r="AE142" s="49">
        <f>ROUND($Q$8*(Table24[[#This Row],[SHL_TAR_IDPs]]*$AE$3+Table24[[#This Row],[SHL_TAR_HC]]*$AE$4+Table24[[#This Row],[SHL_TAR_NDP]]*$AE$5)/$AE$18,0)</f>
        <v>305</v>
      </c>
      <c r="AF142" s="49">
        <f>ROUND($Q$8*(Table24[[#This Row],[SHL_TAR_IDPs]]*$AF$3+Table24[[#This Row],[SHL_TAR_HC]]*$AF$4+Table24[[#This Row],[SHL_TAR_NDP]]*$AF$5)/$AF$18,0)</f>
        <v>609</v>
      </c>
      <c r="AG142" s="49">
        <f>ROUND($Q$8*(Table24[[#This Row],[SHL_TAR_IDPs]]*$AG$3+Table24[[#This Row],[SHL_TAR_HC]]*$AG$4+Table24[[#This Row],[SHL_TAR_NDP]]*$AG$5)/$AG$18,0)</f>
        <v>1108</v>
      </c>
      <c r="AH142" s="49">
        <f>ROUND($Q$8*(Table24[[#This Row],[SHL_TAR_IDPs]]*$AH$3+Table24[[#This Row],[SHL_TAR_HC]]*$AH$4+Table24[[#This Row],[SHL_TAR_NDP]]*$AH$5)/$AH$18,0)</f>
        <v>545</v>
      </c>
      <c r="AI142" s="49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>272</v>
      </c>
      <c r="AK142" s="101">
        <v>5.5E-2</v>
      </c>
      <c r="AL142" s="102"/>
    </row>
    <row r="143" spans="1:38" x14ac:dyDescent="0.55000000000000004">
      <c r="A143" t="s">
        <v>369</v>
      </c>
      <c r="B143" t="s">
        <v>175</v>
      </c>
      <c r="C143" t="s">
        <v>365</v>
      </c>
      <c r="D143" s="58">
        <f>_xlfn.XLOOKUP($B143, 'Prioritization calculation'!D:D, 'Prioritization calculation'!X:X, "")</f>
        <v>3</v>
      </c>
      <c r="E143" s="58">
        <v>4</v>
      </c>
      <c r="F143" s="58">
        <v>3</v>
      </c>
      <c r="G143" s="58" t="s">
        <v>521</v>
      </c>
      <c r="H143" s="58">
        <v>51560</v>
      </c>
      <c r="I143" s="58">
        <v>1200</v>
      </c>
      <c r="J143" s="58">
        <v>500</v>
      </c>
      <c r="K143" s="58"/>
      <c r="L143" s="58">
        <v>12225</v>
      </c>
      <c r="M143" s="58">
        <v>0</v>
      </c>
      <c r="N143" s="58">
        <v>1193.3719837041679</v>
      </c>
      <c r="O143" s="97">
        <f>SUM(Table24[[#This Row],[SHL_PIN_IDPs]:[SHL_PIN_NDP]])</f>
        <v>49012</v>
      </c>
      <c r="P143" s="98">
        <v>31918</v>
      </c>
      <c r="Q143" s="98">
        <v>10639</v>
      </c>
      <c r="R143" s="98">
        <v>6455</v>
      </c>
      <c r="S143" s="98">
        <f>ROUND(SUM(Table24[[#This Row],[SHL_TAR_IDPs]:[SHL_TAR_NDP]]),0)</f>
        <v>17463</v>
      </c>
      <c r="T143" s="48">
        <f>SUM(Table24[[#This Row],[HIDE IDP]:[HIDE NDP]])</f>
        <v>17462.8</v>
      </c>
      <c r="U143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12767</v>
      </c>
      <c r="V143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3404.8</v>
      </c>
      <c r="W143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1291</v>
      </c>
      <c r="X143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12767</v>
      </c>
      <c r="Y143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3404.8</v>
      </c>
      <c r="Z143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1291</v>
      </c>
      <c r="AA143" s="49">
        <f>ROUND($P$8*(Table24[[#This Row],[SHL_TAR_IDPs]]*$AA$3+Table24[[#This Row],[SHL_TAR_HC]]*$AA$4+Table24[[#This Row],[SHL_TAR_NDP]]*$AA$5)/$AA$18,0)</f>
        <v>1484</v>
      </c>
      <c r="AB143" s="49">
        <f>ROUND($P$8*(Table24[[#This Row],[SHL_TAR_IDPs]]*$AB$3+Table24[[#This Row],[SHL_TAR_HC]]*$AB$4+Table24[[#This Row],[SHL_TAR_NDP]]*$AB$5)/$AB$18,0)</f>
        <v>1484</v>
      </c>
      <c r="AC143" s="49">
        <f>ROUND($Q$8*(Table24[[#This Row],[SHL_TAR_IDPs]]*$AC$3+Table24[[#This Row],[SHL_TAR_HC]]*$AC$4+Table24[[#This Row],[SHL_TAR_NDP]]*$AC$5)/$AC$18,0)</f>
        <v>128</v>
      </c>
      <c r="AD143" s="49">
        <f>ROUND($Q$8*(Table24[[#This Row],[SHL_TAR_IDPs]]*$AD$3+Table24[[#This Row],[SHL_TAR_HC]]*$AD$4+Table24[[#This Row],[SHL_TAR_NDP]]*$AD$5)/$AD$18,0)</f>
        <v>128</v>
      </c>
      <c r="AE143" s="49">
        <f>ROUND($Q$8*(Table24[[#This Row],[SHL_TAR_IDPs]]*$AE$3+Table24[[#This Row],[SHL_TAR_HC]]*$AE$4+Table24[[#This Row],[SHL_TAR_NDP]]*$AE$5)/$AE$18,0)</f>
        <v>175</v>
      </c>
      <c r="AF143" s="49">
        <f>ROUND($Q$8*(Table24[[#This Row],[SHL_TAR_IDPs]]*$AF$3+Table24[[#This Row],[SHL_TAR_HC]]*$AF$4+Table24[[#This Row],[SHL_TAR_NDP]]*$AF$5)/$AF$18,0)</f>
        <v>349</v>
      </c>
      <c r="AG143" s="49">
        <f>ROUND($Q$8*(Table24[[#This Row],[SHL_TAR_IDPs]]*$AG$3+Table24[[#This Row],[SHL_TAR_HC]]*$AG$4+Table24[[#This Row],[SHL_TAR_NDP]]*$AG$5)/$AG$18,0)</f>
        <v>678</v>
      </c>
      <c r="AH143" s="49">
        <f>ROUND($Q$8*(Table24[[#This Row],[SHL_TAR_IDPs]]*$AH$3+Table24[[#This Row],[SHL_TAR_HC]]*$AH$4+Table24[[#This Row],[SHL_TAR_NDP]]*$AH$5)/$AH$18,0)</f>
        <v>289</v>
      </c>
      <c r="AI143" s="49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>151</v>
      </c>
      <c r="AK143" s="101">
        <v>0.124</v>
      </c>
      <c r="AL143" s="102"/>
    </row>
    <row r="144" spans="1:38" x14ac:dyDescent="0.55000000000000004">
      <c r="A144" t="s">
        <v>369</v>
      </c>
      <c r="B144" t="s">
        <v>176</v>
      </c>
      <c r="C144" t="s">
        <v>366</v>
      </c>
      <c r="D144" s="58">
        <f>_xlfn.XLOOKUP($B144, 'Prioritization calculation'!D:D, 'Prioritization calculation'!X:X, "")</f>
        <v>3</v>
      </c>
      <c r="E144" s="58">
        <v>3</v>
      </c>
      <c r="F144" s="58">
        <v>4</v>
      </c>
      <c r="G144" s="58" t="s">
        <v>521</v>
      </c>
      <c r="H144" s="98">
        <v>24105</v>
      </c>
      <c r="I144" s="58">
        <v>0</v>
      </c>
      <c r="J144" s="58">
        <v>0</v>
      </c>
      <c r="K144" s="58"/>
      <c r="L144" s="58">
        <v>8630</v>
      </c>
      <c r="M144" s="58">
        <v>0</v>
      </c>
      <c r="N144" s="58">
        <v>202.9667458432304</v>
      </c>
      <c r="O144" s="97">
        <f>SUM(Table24[[#This Row],[SHL_PIN_IDPs]:[SHL_PIN_NDP]])</f>
        <v>25918</v>
      </c>
      <c r="P144" s="98">
        <v>14372</v>
      </c>
      <c r="Q144" s="98">
        <v>7186</v>
      </c>
      <c r="R144" s="98">
        <v>4360</v>
      </c>
      <c r="S144" s="98">
        <f>ROUND(SUM(Table24[[#This Row],[SHL_TAR_IDPs]:[SHL_TAR_NDP]]),0)</f>
        <v>4460</v>
      </c>
      <c r="T144" s="48">
        <f>SUM(Table24[[#This Row],[HIDE IDP]:[HIDE NDP]])</f>
        <v>4459.6000000000004</v>
      </c>
      <c r="U144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2874</v>
      </c>
      <c r="V144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1149.6000000000001</v>
      </c>
      <c r="W144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436</v>
      </c>
      <c r="X144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2874</v>
      </c>
      <c r="Y144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1149.6000000000001</v>
      </c>
      <c r="Z144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436</v>
      </c>
      <c r="AA144" s="49">
        <f>ROUND($P$8*(Table24[[#This Row],[SHL_TAR_IDPs]]*$AA$3+Table24[[#This Row],[SHL_TAR_HC]]*$AA$4+Table24[[#This Row],[SHL_TAR_NDP]]*$AA$5)/$AA$18,0)</f>
        <v>379</v>
      </c>
      <c r="AB144" s="49">
        <f>ROUND($P$8*(Table24[[#This Row],[SHL_TAR_IDPs]]*$AB$3+Table24[[#This Row],[SHL_TAR_HC]]*$AB$4+Table24[[#This Row],[SHL_TAR_NDP]]*$AB$5)/$AB$18,0)</f>
        <v>379</v>
      </c>
      <c r="AC144" s="49">
        <f>ROUND($Q$8*(Table24[[#This Row],[SHL_TAR_IDPs]]*$AC$3+Table24[[#This Row],[SHL_TAR_HC]]*$AC$4+Table24[[#This Row],[SHL_TAR_NDP]]*$AC$5)/$AC$18,0)</f>
        <v>29</v>
      </c>
      <c r="AD144" s="49">
        <f>ROUND($Q$8*(Table24[[#This Row],[SHL_TAR_IDPs]]*$AD$3+Table24[[#This Row],[SHL_TAR_HC]]*$AD$4+Table24[[#This Row],[SHL_TAR_NDP]]*$AD$5)/$AD$18,0)</f>
        <v>29</v>
      </c>
      <c r="AE144" s="49">
        <f>ROUND($Q$8*(Table24[[#This Row],[SHL_TAR_IDPs]]*$AE$3+Table24[[#This Row],[SHL_TAR_HC]]*$AE$4+Table24[[#This Row],[SHL_TAR_NDP]]*$AE$5)/$AE$18,0)</f>
        <v>45</v>
      </c>
      <c r="AF144" s="49">
        <f>ROUND($Q$8*(Table24[[#This Row],[SHL_TAR_IDPs]]*$AF$3+Table24[[#This Row],[SHL_TAR_HC]]*$AF$4+Table24[[#This Row],[SHL_TAR_NDP]]*$AF$5)/$AF$18,0)</f>
        <v>89</v>
      </c>
      <c r="AG144" s="49">
        <f>ROUND($Q$8*(Table24[[#This Row],[SHL_TAR_IDPs]]*$AG$3+Table24[[#This Row],[SHL_TAR_HC]]*$AG$4+Table24[[#This Row],[SHL_TAR_NDP]]*$AG$5)/$AG$18,0)</f>
        <v>186</v>
      </c>
      <c r="AH144" s="49">
        <f>ROUND($Q$8*(Table24[[#This Row],[SHL_TAR_IDPs]]*$AH$3+Table24[[#This Row],[SHL_TAR_HC]]*$AH$4+Table24[[#This Row],[SHL_TAR_NDP]]*$AH$5)/$AH$18,0)</f>
        <v>69</v>
      </c>
      <c r="AI144" s="49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>37</v>
      </c>
      <c r="AK144" s="101">
        <v>8.2000000000000003E-2</v>
      </c>
      <c r="AL144" s="102"/>
    </row>
    <row r="145" spans="1:38" x14ac:dyDescent="0.55000000000000004">
      <c r="A145" t="s">
        <v>369</v>
      </c>
      <c r="B145" t="s">
        <v>177</v>
      </c>
      <c r="C145" t="s">
        <v>367</v>
      </c>
      <c r="D145" s="58">
        <f>_xlfn.XLOOKUP($B145, 'Prioritization calculation'!D:D, 'Prioritization calculation'!X:X, "")</f>
        <v>3</v>
      </c>
      <c r="E145" s="58">
        <v>4</v>
      </c>
      <c r="F145" s="58">
        <v>3</v>
      </c>
      <c r="G145" s="58" t="s">
        <v>521</v>
      </c>
      <c r="H145" s="58">
        <v>55150</v>
      </c>
      <c r="I145" s="58">
        <v>0</v>
      </c>
      <c r="J145" s="58">
        <v>0</v>
      </c>
      <c r="K145" s="58"/>
      <c r="L145" s="58">
        <v>0</v>
      </c>
      <c r="M145" s="58">
        <v>0</v>
      </c>
      <c r="N145" s="58">
        <v>1027.9368600682594</v>
      </c>
      <c r="O145" s="97">
        <f>SUM(Table24[[#This Row],[SHL_PIN_IDPs]:[SHL_PIN_NDP]])</f>
        <v>61761</v>
      </c>
      <c r="P145" s="98">
        <v>34180</v>
      </c>
      <c r="Q145" s="98">
        <v>20032</v>
      </c>
      <c r="R145" s="98">
        <v>7549</v>
      </c>
      <c r="S145" s="98">
        <f>ROUND(SUM(Table24[[#This Row],[SHL_TAR_IDPs]:[SHL_TAR_NDP]]),0)</f>
        <v>21592</v>
      </c>
      <c r="T145" s="48">
        <f>SUM(Table24[[#This Row],[HIDE IDP]:[HIDE NDP]])</f>
        <v>21592.400000000001</v>
      </c>
      <c r="U145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13672</v>
      </c>
      <c r="V145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6410.4000000000005</v>
      </c>
      <c r="W145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1510</v>
      </c>
      <c r="X145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13672</v>
      </c>
      <c r="Y145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6410.4000000000005</v>
      </c>
      <c r="Z145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1510</v>
      </c>
      <c r="AA145" s="49">
        <f>ROUND($P$8*(Table24[[#This Row],[SHL_TAR_IDPs]]*$AA$3+Table24[[#This Row],[SHL_TAR_HC]]*$AA$4+Table24[[#This Row],[SHL_TAR_NDP]]*$AA$5)/$AA$18,0)</f>
        <v>1835</v>
      </c>
      <c r="AB145" s="49">
        <f>ROUND($P$8*(Table24[[#This Row],[SHL_TAR_IDPs]]*$AB$3+Table24[[#This Row],[SHL_TAR_HC]]*$AB$4+Table24[[#This Row],[SHL_TAR_NDP]]*$AB$5)/$AB$18,0)</f>
        <v>1835</v>
      </c>
      <c r="AC145" s="49">
        <f>ROUND($Q$8*(Table24[[#This Row],[SHL_TAR_IDPs]]*$AC$3+Table24[[#This Row],[SHL_TAR_HC]]*$AC$4+Table24[[#This Row],[SHL_TAR_NDP]]*$AC$5)/$AC$18,0)</f>
        <v>137</v>
      </c>
      <c r="AD145" s="49">
        <f>ROUND($Q$8*(Table24[[#This Row],[SHL_TAR_IDPs]]*$AD$3+Table24[[#This Row],[SHL_TAR_HC]]*$AD$4+Table24[[#This Row],[SHL_TAR_NDP]]*$AD$5)/$AD$18,0)</f>
        <v>137</v>
      </c>
      <c r="AE145" s="49">
        <f>ROUND($Q$8*(Table24[[#This Row],[SHL_TAR_IDPs]]*$AE$3+Table24[[#This Row],[SHL_TAR_HC]]*$AE$4+Table24[[#This Row],[SHL_TAR_NDP]]*$AE$5)/$AE$18,0)</f>
        <v>216</v>
      </c>
      <c r="AF145" s="49">
        <f>ROUND($Q$8*(Table24[[#This Row],[SHL_TAR_IDPs]]*$AF$3+Table24[[#This Row],[SHL_TAR_HC]]*$AF$4+Table24[[#This Row],[SHL_TAR_NDP]]*$AF$5)/$AF$18,0)</f>
        <v>432</v>
      </c>
      <c r="AG145" s="49">
        <f>ROUND($Q$8*(Table24[[#This Row],[SHL_TAR_IDPs]]*$AG$3+Table24[[#This Row],[SHL_TAR_HC]]*$AG$4+Table24[[#This Row],[SHL_TAR_NDP]]*$AG$5)/$AG$18,0)</f>
        <v>900</v>
      </c>
      <c r="AH145" s="49">
        <f>ROUND($Q$8*(Table24[[#This Row],[SHL_TAR_IDPs]]*$AH$3+Table24[[#This Row],[SHL_TAR_HC]]*$AH$4+Table24[[#This Row],[SHL_TAR_NDP]]*$AH$5)/$AH$18,0)</f>
        <v>338</v>
      </c>
      <c r="AI145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  <c r="AK145" s="101">
        <v>0.12</v>
      </c>
      <c r="AL145" s="102"/>
    </row>
    <row r="146" spans="1:38" x14ac:dyDescent="0.55000000000000004">
      <c r="A146" t="s">
        <v>369</v>
      </c>
      <c r="B146" t="s">
        <v>178</v>
      </c>
      <c r="C146" t="s">
        <v>368</v>
      </c>
      <c r="D146" s="58">
        <f>_xlfn.XLOOKUP($B146, 'Prioritization calculation'!D:D, 'Prioritization calculation'!X:X, "")</f>
        <v>3</v>
      </c>
      <c r="E146" s="58">
        <v>4</v>
      </c>
      <c r="F146" s="58">
        <v>3</v>
      </c>
      <c r="G146" s="58" t="s">
        <v>521</v>
      </c>
      <c r="H146" s="58">
        <v>49899</v>
      </c>
      <c r="I146" s="58">
        <v>1300</v>
      </c>
      <c r="J146" s="58">
        <v>0</v>
      </c>
      <c r="K146" s="58"/>
      <c r="L146" s="58">
        <v>6425</v>
      </c>
      <c r="M146" s="58">
        <v>0</v>
      </c>
      <c r="N146" s="58">
        <v>0</v>
      </c>
      <c r="O146" s="97">
        <f>SUM(Table24[[#This Row],[SHL_PIN_IDPs]:[SHL_PIN_NDP]])</f>
        <v>59778</v>
      </c>
      <c r="P146" s="98">
        <v>37550</v>
      </c>
      <c r="Q146" s="98">
        <v>18775</v>
      </c>
      <c r="R146" s="98">
        <v>3453</v>
      </c>
      <c r="S146" s="98">
        <f>ROUND(SUM(Table24[[#This Row],[SHL_TAR_IDPs]:[SHL_TAR_NDP]]),0)</f>
        <v>21719</v>
      </c>
      <c r="T146" s="48">
        <f>SUM(Table24[[#This Row],[HIDE IDP]:[HIDE NDP]])</f>
        <v>21718.5</v>
      </c>
      <c r="U146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15020</v>
      </c>
      <c r="V146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6008</v>
      </c>
      <c r="W146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690.5</v>
      </c>
      <c r="X146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15020</v>
      </c>
      <c r="Y146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6008</v>
      </c>
      <c r="Z146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690.5</v>
      </c>
      <c r="AA146" s="49">
        <f>ROUND($P$8*(Table24[[#This Row],[SHL_TAR_IDPs]]*$AA$3+Table24[[#This Row],[SHL_TAR_HC]]*$AA$4+Table24[[#This Row],[SHL_TAR_NDP]]*$AA$5)/$AA$18,0)</f>
        <v>1846</v>
      </c>
      <c r="AB146" s="49">
        <f>ROUND($P$8*(Table24[[#This Row],[SHL_TAR_IDPs]]*$AB$3+Table24[[#This Row],[SHL_TAR_HC]]*$AB$4+Table24[[#This Row],[SHL_TAR_NDP]]*$AB$5)/$AB$18,0)</f>
        <v>1846</v>
      </c>
      <c r="AC146" s="49">
        <f>ROUND($Q$8*(Table24[[#This Row],[SHL_TAR_IDPs]]*$AC$3+Table24[[#This Row],[SHL_TAR_HC]]*$AC$4+Table24[[#This Row],[SHL_TAR_NDP]]*$AC$5)/$AC$18,0)</f>
        <v>150</v>
      </c>
      <c r="AD146" s="49">
        <f>ROUND($Q$8*(Table24[[#This Row],[SHL_TAR_IDPs]]*$AD$3+Table24[[#This Row],[SHL_TAR_HC]]*$AD$4+Table24[[#This Row],[SHL_TAR_NDP]]*$AD$5)/$AD$18,0)</f>
        <v>150</v>
      </c>
      <c r="AE146" s="49">
        <f>ROUND($Q$8*(Table24[[#This Row],[SHL_TAR_IDPs]]*$AE$3+Table24[[#This Row],[SHL_TAR_HC]]*$AE$4+Table24[[#This Row],[SHL_TAR_NDP]]*$AE$5)/$AE$18,0)</f>
        <v>217</v>
      </c>
      <c r="AF146" s="49">
        <f>ROUND($Q$8*(Table24[[#This Row],[SHL_TAR_IDPs]]*$AF$3+Table24[[#This Row],[SHL_TAR_HC]]*$AF$4+Table24[[#This Row],[SHL_TAR_NDP]]*$AF$5)/$AF$18,0)</f>
        <v>434</v>
      </c>
      <c r="AG146" s="49">
        <f>ROUND($Q$8*(Table24[[#This Row],[SHL_TAR_IDPs]]*$AG$3+Table24[[#This Row],[SHL_TAR_HC]]*$AG$4+Table24[[#This Row],[SHL_TAR_NDP]]*$AG$5)/$AG$18,0)</f>
        <v>859</v>
      </c>
      <c r="AH146" s="49">
        <f>ROUND($Q$8*(Table24[[#This Row],[SHL_TAR_IDPs]]*$AH$3+Table24[[#This Row],[SHL_TAR_HC]]*$AH$4+Table24[[#This Row],[SHL_TAR_NDP]]*$AH$5)/$AH$18,0)</f>
        <v>360</v>
      </c>
      <c r="AI146" s="49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>184</v>
      </c>
      <c r="AK146" s="101">
        <v>5.0000000000000001E-3</v>
      </c>
      <c r="AL146" s="102"/>
    </row>
    <row r="147" spans="1:38" x14ac:dyDescent="0.55000000000000004">
      <c r="A147" t="s">
        <v>369</v>
      </c>
      <c r="B147" t="s">
        <v>179</v>
      </c>
      <c r="C147" t="s">
        <v>369</v>
      </c>
      <c r="D147" s="58">
        <f>_xlfn.XLOOKUP($B147, 'Prioritization calculation'!D:D, 'Prioritization calculation'!X:X, "")</f>
        <v>3</v>
      </c>
      <c r="E147" s="58">
        <v>4</v>
      </c>
      <c r="F147" s="58">
        <v>3</v>
      </c>
      <c r="G147" s="58" t="s">
        <v>521</v>
      </c>
      <c r="H147" s="58">
        <v>49884</v>
      </c>
      <c r="I147" s="58">
        <v>4090</v>
      </c>
      <c r="J147" s="58">
        <v>0</v>
      </c>
      <c r="K147" s="58"/>
      <c r="L147" s="58">
        <v>8215</v>
      </c>
      <c r="M147" s="58">
        <v>0</v>
      </c>
      <c r="N147" s="58">
        <v>5718.6028938906747</v>
      </c>
      <c r="O147" s="97">
        <f>SUM(Table24[[#This Row],[SHL_PIN_IDPs]:[SHL_PIN_NDP]])</f>
        <v>63500</v>
      </c>
      <c r="P147" s="98">
        <v>30464</v>
      </c>
      <c r="Q147" s="98">
        <v>10160</v>
      </c>
      <c r="R147" s="98">
        <v>22876</v>
      </c>
      <c r="S147" s="98">
        <f>ROUND(SUM(Table24[[#This Row],[SHL_TAR_IDPs]:[SHL_TAR_NDP]]),0)</f>
        <v>20012</v>
      </c>
      <c r="T147" s="48">
        <f>SUM(Table24[[#This Row],[HIDE IDP]:[HIDE NDP]])</f>
        <v>20012.2</v>
      </c>
      <c r="U147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12186</v>
      </c>
      <c r="V147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3251.2000000000003</v>
      </c>
      <c r="W147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4575</v>
      </c>
      <c r="X147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12186</v>
      </c>
      <c r="Y147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3251.2000000000003</v>
      </c>
      <c r="Z147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4575</v>
      </c>
      <c r="AA147" s="49">
        <f>ROUND($P$8*(Table24[[#This Row],[SHL_TAR_IDPs]]*$AA$3+Table24[[#This Row],[SHL_TAR_HC]]*$AA$4+Table24[[#This Row],[SHL_TAR_NDP]]*$AA$5)/$AA$18,0)</f>
        <v>1701</v>
      </c>
      <c r="AB147" s="49">
        <f>ROUND($P$8*(Table24[[#This Row],[SHL_TAR_IDPs]]*$AB$3+Table24[[#This Row],[SHL_TAR_HC]]*$AB$4+Table24[[#This Row],[SHL_TAR_NDP]]*$AB$5)/$AB$18,0)</f>
        <v>1701</v>
      </c>
      <c r="AC147" s="49">
        <f>ROUND($Q$8*(Table24[[#This Row],[SHL_TAR_IDPs]]*$AC$3+Table24[[#This Row],[SHL_TAR_HC]]*$AC$4+Table24[[#This Row],[SHL_TAR_NDP]]*$AC$5)/$AC$18,0)</f>
        <v>122</v>
      </c>
      <c r="AD147" s="49">
        <f>ROUND($Q$8*(Table24[[#This Row],[SHL_TAR_IDPs]]*$AD$3+Table24[[#This Row],[SHL_TAR_HC]]*$AD$4+Table24[[#This Row],[SHL_TAR_NDP]]*$AD$5)/$AD$18,0)</f>
        <v>122</v>
      </c>
      <c r="AE147" s="49">
        <f>ROUND($Q$8*(Table24[[#This Row],[SHL_TAR_IDPs]]*$AE$3+Table24[[#This Row],[SHL_TAR_HC]]*$AE$4+Table24[[#This Row],[SHL_TAR_NDP]]*$AE$5)/$AE$18,0)</f>
        <v>200</v>
      </c>
      <c r="AF147" s="49">
        <f>ROUND($Q$8*(Table24[[#This Row],[SHL_TAR_IDPs]]*$AF$3+Table24[[#This Row],[SHL_TAR_HC]]*$AF$4+Table24[[#This Row],[SHL_TAR_NDP]]*$AF$5)/$AF$18,0)</f>
        <v>400</v>
      </c>
      <c r="AG147" s="49">
        <f>ROUND($Q$8*(Table24[[#This Row],[SHL_TAR_IDPs]]*$AG$3+Table24[[#This Row],[SHL_TAR_HC]]*$AG$4+Table24[[#This Row],[SHL_TAR_NDP]]*$AG$5)/$AG$18,0)</f>
        <v>881</v>
      </c>
      <c r="AH147" s="49">
        <f>ROUND($Q$8*(Table24[[#This Row],[SHL_TAR_IDPs]]*$AH$3+Table24[[#This Row],[SHL_TAR_HC]]*$AH$4+Table24[[#This Row],[SHL_TAR_NDP]]*$AH$5)/$AH$18,0)</f>
        <v>276</v>
      </c>
      <c r="AI147" s="49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>161</v>
      </c>
      <c r="AK147" s="101">
        <v>0</v>
      </c>
      <c r="AL147" s="102"/>
    </row>
    <row r="148" spans="1:38" x14ac:dyDescent="0.55000000000000004">
      <c r="A148" t="s">
        <v>369</v>
      </c>
      <c r="B148" t="s">
        <v>180</v>
      </c>
      <c r="C148" t="s">
        <v>370</v>
      </c>
      <c r="D148" s="58">
        <f>_xlfn.XLOOKUP($B148, 'Prioritization calculation'!D:D, 'Prioritization calculation'!X:X, "")</f>
        <v>3</v>
      </c>
      <c r="E148" s="58">
        <v>4</v>
      </c>
      <c r="F148" s="58">
        <v>3</v>
      </c>
      <c r="G148" s="58" t="s">
        <v>521</v>
      </c>
      <c r="H148" s="58">
        <v>51356</v>
      </c>
      <c r="I148" s="58">
        <v>0</v>
      </c>
      <c r="J148" s="58">
        <v>0</v>
      </c>
      <c r="K148" s="58"/>
      <c r="L148" s="58">
        <v>5175</v>
      </c>
      <c r="M148" s="58">
        <v>0</v>
      </c>
      <c r="N148" s="58">
        <v>21.974889867841412</v>
      </c>
      <c r="O148" s="97">
        <f>SUM(Table24[[#This Row],[SHL_PIN_IDPs]:[SHL_PIN_NDP]])</f>
        <v>55582</v>
      </c>
      <c r="P148" s="98">
        <v>22230</v>
      </c>
      <c r="Q148" s="98">
        <v>7410</v>
      </c>
      <c r="R148" s="98">
        <v>25942</v>
      </c>
      <c r="S148" s="98">
        <f>ROUND(SUM(Table24[[#This Row],[SHL_TAR_IDPs]:[SHL_TAR_NDP]]),0)</f>
        <v>16452</v>
      </c>
      <c r="T148" s="48">
        <f>SUM(Table24[[#This Row],[HIDE IDP]:[HIDE NDP]])</f>
        <v>16451.7</v>
      </c>
      <c r="U148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8892</v>
      </c>
      <c r="V148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2371.2000000000003</v>
      </c>
      <c r="W148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5188.5</v>
      </c>
      <c r="X148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8892</v>
      </c>
      <c r="Y148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2371.2000000000003</v>
      </c>
      <c r="Z148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5188.5</v>
      </c>
      <c r="AA148" s="49">
        <f>ROUND($P$8*(Table24[[#This Row],[SHL_TAR_IDPs]]*$AA$3+Table24[[#This Row],[SHL_TAR_HC]]*$AA$4+Table24[[#This Row],[SHL_TAR_NDP]]*$AA$5)/$AA$18,0)</f>
        <v>1398</v>
      </c>
      <c r="AB148" s="49">
        <f>ROUND($P$8*(Table24[[#This Row],[SHL_TAR_IDPs]]*$AB$3+Table24[[#This Row],[SHL_TAR_HC]]*$AB$4+Table24[[#This Row],[SHL_TAR_NDP]]*$AB$5)/$AB$18,0)</f>
        <v>1398</v>
      </c>
      <c r="AC148" s="49">
        <f>ROUND($Q$8*(Table24[[#This Row],[SHL_TAR_IDPs]]*$AC$3+Table24[[#This Row],[SHL_TAR_HC]]*$AC$4+Table24[[#This Row],[SHL_TAR_NDP]]*$AC$5)/$AC$18,0)</f>
        <v>89</v>
      </c>
      <c r="AD148" s="49">
        <f>ROUND($Q$8*(Table24[[#This Row],[SHL_TAR_IDPs]]*$AD$3+Table24[[#This Row],[SHL_TAR_HC]]*$AD$4+Table24[[#This Row],[SHL_TAR_NDP]]*$AD$5)/$AD$18,0)</f>
        <v>89</v>
      </c>
      <c r="AE148" s="49">
        <f>ROUND($Q$8*(Table24[[#This Row],[SHL_TAR_IDPs]]*$AE$3+Table24[[#This Row],[SHL_TAR_HC]]*$AE$4+Table24[[#This Row],[SHL_TAR_NDP]]*$AE$5)/$AE$18,0)</f>
        <v>165</v>
      </c>
      <c r="AF148" s="49">
        <f>ROUND($Q$8*(Table24[[#This Row],[SHL_TAR_IDPs]]*$AF$3+Table24[[#This Row],[SHL_TAR_HC]]*$AF$4+Table24[[#This Row],[SHL_TAR_NDP]]*$AF$5)/$AF$18,0)</f>
        <v>329</v>
      </c>
      <c r="AG148" s="49">
        <f>ROUND($Q$8*(Table24[[#This Row],[SHL_TAR_IDPs]]*$AG$3+Table24[[#This Row],[SHL_TAR_HC]]*$AG$4+Table24[[#This Row],[SHL_TAR_NDP]]*$AG$5)/$AG$18,0)</f>
        <v>772</v>
      </c>
      <c r="AH148" s="49">
        <f>ROUND($Q$8*(Table24[[#This Row],[SHL_TAR_IDPs]]*$AH$3+Table24[[#This Row],[SHL_TAR_HC]]*$AH$4+Table24[[#This Row],[SHL_TAR_NDP]]*$AH$5)/$AH$18,0)</f>
        <v>202</v>
      </c>
      <c r="AI148" s="49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>127</v>
      </c>
      <c r="AK148" s="101">
        <v>1.7000000000000001E-2</v>
      </c>
      <c r="AL148" s="102"/>
    </row>
    <row r="149" spans="1:38" x14ac:dyDescent="0.55000000000000004">
      <c r="A149" t="s">
        <v>369</v>
      </c>
      <c r="B149" t="s">
        <v>181</v>
      </c>
      <c r="C149" t="s">
        <v>371</v>
      </c>
      <c r="D149" s="58">
        <f>_xlfn.XLOOKUP($B149, 'Prioritization calculation'!D:D, 'Prioritization calculation'!X:X, "")</f>
        <v>3</v>
      </c>
      <c r="E149" s="58">
        <v>3</v>
      </c>
      <c r="F149" s="58">
        <v>3</v>
      </c>
      <c r="G149" s="58" t="s">
        <v>521</v>
      </c>
      <c r="H149" s="58">
        <v>38678</v>
      </c>
      <c r="I149" s="58">
        <v>0</v>
      </c>
      <c r="J149" s="58">
        <v>500</v>
      </c>
      <c r="K149" s="58"/>
      <c r="L149" s="58">
        <v>24425</v>
      </c>
      <c r="M149" s="58">
        <v>0</v>
      </c>
      <c r="N149" s="58">
        <v>2047.6218749999998</v>
      </c>
      <c r="O149" s="97">
        <f>SUM(Table24[[#This Row],[SHL_PIN_IDPs]:[SHL_PIN_NDP]])</f>
        <v>29931</v>
      </c>
      <c r="P149" s="98">
        <v>19953</v>
      </c>
      <c r="Q149" s="98">
        <v>9978</v>
      </c>
      <c r="R149" s="98">
        <v>0</v>
      </c>
      <c r="S149" s="98">
        <f>ROUND(SUM(Table24[[#This Row],[SHL_TAR_IDPs]:[SHL_TAR_NDP]]),0)</f>
        <v>5588</v>
      </c>
      <c r="T149" s="48">
        <f>SUM(Table24[[#This Row],[HIDE IDP]:[HIDE NDP]])</f>
        <v>5587.8</v>
      </c>
      <c r="U149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3991</v>
      </c>
      <c r="V149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1596.8000000000002</v>
      </c>
      <c r="W149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0</v>
      </c>
      <c r="X149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3991</v>
      </c>
      <c r="Y149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1596.8000000000002</v>
      </c>
      <c r="Z149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149" s="49">
        <f>ROUND($P$8*(Table24[[#This Row],[SHL_TAR_IDPs]]*$AA$3+Table24[[#This Row],[SHL_TAR_HC]]*$AA$4+Table24[[#This Row],[SHL_TAR_NDP]]*$AA$5)/$AA$18,0)</f>
        <v>475</v>
      </c>
      <c r="AB149" s="49">
        <f>ROUND($P$8*(Table24[[#This Row],[SHL_TAR_IDPs]]*$AB$3+Table24[[#This Row],[SHL_TAR_HC]]*$AB$4+Table24[[#This Row],[SHL_TAR_NDP]]*$AB$5)/$AB$18,0)</f>
        <v>475</v>
      </c>
      <c r="AC149" s="49">
        <f>ROUND($Q$8*(Table24[[#This Row],[SHL_TAR_IDPs]]*$AC$3+Table24[[#This Row],[SHL_TAR_HC]]*$AC$4+Table24[[#This Row],[SHL_TAR_NDP]]*$AC$5)/$AC$18,0)</f>
        <v>40</v>
      </c>
      <c r="AD149" s="49">
        <f>ROUND($Q$8*(Table24[[#This Row],[SHL_TAR_IDPs]]*$AD$3+Table24[[#This Row],[SHL_TAR_HC]]*$AD$4+Table24[[#This Row],[SHL_TAR_NDP]]*$AD$5)/$AD$18,0)</f>
        <v>40</v>
      </c>
      <c r="AE149" s="49">
        <f>ROUND($Q$8*(Table24[[#This Row],[SHL_TAR_IDPs]]*$AE$3+Table24[[#This Row],[SHL_TAR_HC]]*$AE$4+Table24[[#This Row],[SHL_TAR_NDP]]*$AE$5)/$AE$18,0)</f>
        <v>56</v>
      </c>
      <c r="AF149" s="49">
        <f>ROUND($Q$8*(Table24[[#This Row],[SHL_TAR_IDPs]]*$AF$3+Table24[[#This Row],[SHL_TAR_HC]]*$AF$4+Table24[[#This Row],[SHL_TAR_NDP]]*$AF$5)/$AF$18,0)</f>
        <v>112</v>
      </c>
      <c r="AG149" s="49">
        <f>ROUND($Q$8*(Table24[[#This Row],[SHL_TAR_IDPs]]*$AG$3+Table24[[#This Row],[SHL_TAR_HC]]*$AG$4+Table24[[#This Row],[SHL_TAR_NDP]]*$AG$5)/$AG$18,0)</f>
        <v>216</v>
      </c>
      <c r="AH149" s="49">
        <f>ROUND($Q$8*(Table24[[#This Row],[SHL_TAR_IDPs]]*$AH$3+Table24[[#This Row],[SHL_TAR_HC]]*$AH$4+Table24[[#This Row],[SHL_TAR_NDP]]*$AH$5)/$AH$18,0)</f>
        <v>96</v>
      </c>
      <c r="AI149" s="49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>48</v>
      </c>
      <c r="AK149" s="101">
        <v>5.3999999999999999E-2</v>
      </c>
      <c r="AL149" s="102"/>
    </row>
    <row r="150" spans="1:38" x14ac:dyDescent="0.55000000000000004">
      <c r="A150" t="s">
        <v>453</v>
      </c>
      <c r="B150" t="s">
        <v>182</v>
      </c>
      <c r="C150" t="s">
        <v>372</v>
      </c>
      <c r="D150" s="58">
        <f>_xlfn.XLOOKUP($B150, 'Prioritization calculation'!D:D, 'Prioritization calculation'!X:X, "")</f>
        <v>4</v>
      </c>
      <c r="E150" s="58">
        <v>4</v>
      </c>
      <c r="F150" s="58">
        <v>4</v>
      </c>
      <c r="G150" s="58" t="s">
        <v>573</v>
      </c>
      <c r="H150" s="58">
        <v>0</v>
      </c>
      <c r="I150" s="58">
        <v>49255</v>
      </c>
      <c r="J150" s="58">
        <v>0</v>
      </c>
      <c r="K150" s="58"/>
      <c r="L150" s="58">
        <v>0</v>
      </c>
      <c r="M150" s="58">
        <v>10372</v>
      </c>
      <c r="N150" s="58">
        <v>0</v>
      </c>
      <c r="O150" s="97">
        <f>SUM(Table24[[#This Row],[SHL_PIN_IDPs]:[SHL_PIN_NDP]])</f>
        <v>34149</v>
      </c>
      <c r="P150" s="98">
        <v>20922</v>
      </c>
      <c r="Q150" s="98">
        <v>10228</v>
      </c>
      <c r="R150" s="98">
        <v>2999</v>
      </c>
      <c r="S150" s="98">
        <f>ROUND(SUM(Table24[[#This Row],[SHL_TAR_IDPs]:[SHL_TAR_NDP]]),0)</f>
        <v>6121</v>
      </c>
      <c r="T150" s="48">
        <f>SUM(Table24[[#This Row],[HIDE IDP]:[HIDE NDP]])</f>
        <v>6120.8</v>
      </c>
      <c r="U150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4184</v>
      </c>
      <c r="V150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1636.8000000000002</v>
      </c>
      <c r="W150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300</v>
      </c>
      <c r="X150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4184</v>
      </c>
      <c r="Y150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1636.8000000000002</v>
      </c>
      <c r="Z150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300</v>
      </c>
      <c r="AA150" s="49">
        <f>ROUND($P$8*(Table24[[#This Row],[SHL_TAR_IDPs]]*$AA$3+Table24[[#This Row],[SHL_TAR_HC]]*$AA$4+Table24[[#This Row],[SHL_TAR_NDP]]*$AA$5)/$AA$18,0)</f>
        <v>520</v>
      </c>
      <c r="AB150" s="49">
        <f>ROUND($P$8*(Table24[[#This Row],[SHL_TAR_IDPs]]*$AB$3+Table24[[#This Row],[SHL_TAR_HC]]*$AB$4+Table24[[#This Row],[SHL_TAR_NDP]]*$AB$5)/$AB$18,0)</f>
        <v>520</v>
      </c>
      <c r="AC150" s="49">
        <f>ROUND($Q$8*(Table24[[#This Row],[SHL_TAR_IDPs]]*$AC$3+Table24[[#This Row],[SHL_TAR_HC]]*$AC$4+Table24[[#This Row],[SHL_TAR_NDP]]*$AC$5)/$AC$18,0)</f>
        <v>42</v>
      </c>
      <c r="AD150" s="49">
        <f>ROUND($Q$8*(Table24[[#This Row],[SHL_TAR_IDPs]]*$AD$3+Table24[[#This Row],[SHL_TAR_HC]]*$AD$4+Table24[[#This Row],[SHL_TAR_NDP]]*$AD$5)/$AD$18,0)</f>
        <v>42</v>
      </c>
      <c r="AE150" s="49">
        <f>ROUND($Q$8*(Table24[[#This Row],[SHL_TAR_IDPs]]*$AE$3+Table24[[#This Row],[SHL_TAR_HC]]*$AE$4+Table24[[#This Row],[SHL_TAR_NDP]]*$AE$5)/$AE$18,0)</f>
        <v>61</v>
      </c>
      <c r="AF150" s="49">
        <f>ROUND($Q$8*(Table24[[#This Row],[SHL_TAR_IDPs]]*$AF$3+Table24[[#This Row],[SHL_TAR_HC]]*$AF$4+Table24[[#This Row],[SHL_TAR_NDP]]*$AF$5)/$AF$18,0)</f>
        <v>122</v>
      </c>
      <c r="AG150" s="49">
        <f>ROUND($Q$8*(Table24[[#This Row],[SHL_TAR_IDPs]]*$AG$3+Table24[[#This Row],[SHL_TAR_HC]]*$AG$4+Table24[[#This Row],[SHL_TAR_NDP]]*$AG$5)/$AG$18,0)</f>
        <v>245</v>
      </c>
      <c r="AH150" s="49">
        <f>ROUND($Q$8*(Table24[[#This Row],[SHL_TAR_IDPs]]*$AH$3+Table24[[#This Row],[SHL_TAR_HC]]*$AH$4+Table24[[#This Row],[SHL_TAR_NDP]]*$AH$5)/$AH$18,0)</f>
        <v>100</v>
      </c>
      <c r="AI150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  <c r="AK150" s="101">
        <v>1.6E-2</v>
      </c>
      <c r="AL150" s="102"/>
    </row>
    <row r="151" spans="1:38" x14ac:dyDescent="0.55000000000000004">
      <c r="A151" t="s">
        <v>453</v>
      </c>
      <c r="B151" t="s">
        <v>183</v>
      </c>
      <c r="C151" t="s">
        <v>373</v>
      </c>
      <c r="D151" s="58">
        <f>_xlfn.XLOOKUP($B151, 'Prioritization calculation'!D:D, 'Prioritization calculation'!X:X, "")</f>
        <v>3</v>
      </c>
      <c r="E151" s="58">
        <v>2</v>
      </c>
      <c r="F151" s="58">
        <v>4</v>
      </c>
      <c r="G151" s="58" t="s">
        <v>573</v>
      </c>
      <c r="H151" s="58">
        <v>7100</v>
      </c>
      <c r="I151" s="58">
        <v>0</v>
      </c>
      <c r="J151" s="58">
        <v>0</v>
      </c>
      <c r="K151" s="58"/>
      <c r="L151" s="58">
        <v>0</v>
      </c>
      <c r="M151" s="58">
        <v>0</v>
      </c>
      <c r="N151" s="58">
        <v>602.5</v>
      </c>
      <c r="O151" s="97">
        <f>SUM(Table24[[#This Row],[SHL_PIN_IDPs]:[SHL_PIN_NDP]])</f>
        <v>0</v>
      </c>
      <c r="P151" s="98">
        <v>0</v>
      </c>
      <c r="Q151" s="98">
        <v>0</v>
      </c>
      <c r="R151" s="98">
        <v>0</v>
      </c>
      <c r="S151" s="98">
        <f>ROUND(SUM(Table24[[#This Row],[SHL_TAR_IDPs]:[SHL_TAR_NDP]]),0)</f>
        <v>0</v>
      </c>
      <c r="T151" s="48">
        <f>SUM(Table24[[#This Row],[HIDE IDP]:[HIDE NDP]])</f>
        <v>0</v>
      </c>
      <c r="U151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0</v>
      </c>
      <c r="V151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0</v>
      </c>
      <c r="W151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0</v>
      </c>
      <c r="X151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0</v>
      </c>
      <c r="Y151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0</v>
      </c>
      <c r="Z151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151" s="49">
        <f>ROUND($P$8*(Table24[[#This Row],[SHL_TAR_IDPs]]*$AA$3+Table24[[#This Row],[SHL_TAR_HC]]*$AA$4+Table24[[#This Row],[SHL_TAR_NDP]]*$AA$5)/$AA$18,0)</f>
        <v>0</v>
      </c>
      <c r="AB151" s="49">
        <f>ROUND($P$8*(Table24[[#This Row],[SHL_TAR_IDPs]]*$AB$3+Table24[[#This Row],[SHL_TAR_HC]]*$AB$4+Table24[[#This Row],[SHL_TAR_NDP]]*$AB$5)/$AB$18,0)</f>
        <v>0</v>
      </c>
      <c r="AC151" s="49">
        <f>ROUND($Q$8*(Table24[[#This Row],[SHL_TAR_IDPs]]*$AC$3+Table24[[#This Row],[SHL_TAR_HC]]*$AC$4+Table24[[#This Row],[SHL_TAR_NDP]]*$AC$5)/$AC$18,0)</f>
        <v>0</v>
      </c>
      <c r="AD151" s="49">
        <f>ROUND($Q$8*(Table24[[#This Row],[SHL_TAR_IDPs]]*$AD$3+Table24[[#This Row],[SHL_TAR_HC]]*$AD$4+Table24[[#This Row],[SHL_TAR_NDP]]*$AD$5)/$AD$18,0)</f>
        <v>0</v>
      </c>
      <c r="AE151" s="49">
        <f>ROUND($Q$8*(Table24[[#This Row],[SHL_TAR_IDPs]]*$AE$3+Table24[[#This Row],[SHL_TAR_HC]]*$AE$4+Table24[[#This Row],[SHL_TAR_NDP]]*$AE$5)/$AE$18,0)</f>
        <v>0</v>
      </c>
      <c r="AF151" s="49">
        <f>ROUND($Q$8*(Table24[[#This Row],[SHL_TAR_IDPs]]*$AF$3+Table24[[#This Row],[SHL_TAR_HC]]*$AF$4+Table24[[#This Row],[SHL_TAR_NDP]]*$AF$5)/$AF$18,0)</f>
        <v>0</v>
      </c>
      <c r="AG151" s="49">
        <f>ROUND($Q$8*(Table24[[#This Row],[SHL_TAR_IDPs]]*$AG$3+Table24[[#This Row],[SHL_TAR_HC]]*$AG$4+Table24[[#This Row],[SHL_TAR_NDP]]*$AG$5)/$AG$18,0)</f>
        <v>0</v>
      </c>
      <c r="AH151" s="49">
        <f>ROUND($Q$8*(Table24[[#This Row],[SHL_TAR_IDPs]]*$AH$3+Table24[[#This Row],[SHL_TAR_HC]]*$AH$4+Table24[[#This Row],[SHL_TAR_NDP]]*$AH$5)/$AH$18,0)</f>
        <v>0</v>
      </c>
      <c r="AI151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  <c r="AK151" s="101">
        <v>6.0000000000000001E-3</v>
      </c>
      <c r="AL151" s="102"/>
    </row>
    <row r="152" spans="1:38" x14ac:dyDescent="0.55000000000000004">
      <c r="A152" t="s">
        <v>453</v>
      </c>
      <c r="B152" t="s">
        <v>184</v>
      </c>
      <c r="C152" t="s">
        <v>374</v>
      </c>
      <c r="D152" s="58">
        <f>_xlfn.XLOOKUP($B152, 'Prioritization calculation'!D:D, 'Prioritization calculation'!X:X, "")</f>
        <v>2</v>
      </c>
      <c r="E152" s="58">
        <v>3</v>
      </c>
      <c r="F152" s="58">
        <v>3</v>
      </c>
      <c r="G152" s="58" t="s">
        <v>573</v>
      </c>
      <c r="H152" s="58">
        <v>5500</v>
      </c>
      <c r="I152" s="58">
        <v>6930</v>
      </c>
      <c r="J152" s="58">
        <v>1500</v>
      </c>
      <c r="K152" s="58"/>
      <c r="L152" s="58">
        <v>0</v>
      </c>
      <c r="M152" s="58">
        <v>4435</v>
      </c>
      <c r="N152" s="58">
        <v>0</v>
      </c>
      <c r="O152" s="97">
        <f>SUM(Table24[[#This Row],[SHL_PIN_IDPs]:[SHL_PIN_NDP]])</f>
        <v>0</v>
      </c>
      <c r="P152" s="98">
        <v>0</v>
      </c>
      <c r="Q152" s="98">
        <v>0</v>
      </c>
      <c r="R152" s="98">
        <v>0</v>
      </c>
      <c r="S152" s="98">
        <f>ROUND(SUM(Table24[[#This Row],[SHL_TAR_IDPs]:[SHL_TAR_NDP]]),0)</f>
        <v>0</v>
      </c>
      <c r="T152" s="48">
        <f>SUM(Table24[[#This Row],[HIDE IDP]:[HIDE NDP]])</f>
        <v>0</v>
      </c>
      <c r="U152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0</v>
      </c>
      <c r="V152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0</v>
      </c>
      <c r="W152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0</v>
      </c>
      <c r="X152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0</v>
      </c>
      <c r="Y152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0</v>
      </c>
      <c r="Z152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152" s="49">
        <f>ROUND($P$8*(Table24[[#This Row],[SHL_TAR_IDPs]]*$AA$3+Table24[[#This Row],[SHL_TAR_HC]]*$AA$4+Table24[[#This Row],[SHL_TAR_NDP]]*$AA$5)/$AA$18,0)</f>
        <v>0</v>
      </c>
      <c r="AB152" s="49">
        <f>ROUND($P$8*(Table24[[#This Row],[SHL_TAR_IDPs]]*$AB$3+Table24[[#This Row],[SHL_TAR_HC]]*$AB$4+Table24[[#This Row],[SHL_TAR_NDP]]*$AB$5)/$AB$18,0)</f>
        <v>0</v>
      </c>
      <c r="AC152" s="49">
        <f>ROUND($Q$8*(Table24[[#This Row],[SHL_TAR_IDPs]]*$AC$3+Table24[[#This Row],[SHL_TAR_HC]]*$AC$4+Table24[[#This Row],[SHL_TAR_NDP]]*$AC$5)/$AC$18,0)</f>
        <v>0</v>
      </c>
      <c r="AD152" s="49">
        <f>ROUND($Q$8*(Table24[[#This Row],[SHL_TAR_IDPs]]*$AD$3+Table24[[#This Row],[SHL_TAR_HC]]*$AD$4+Table24[[#This Row],[SHL_TAR_NDP]]*$AD$5)/$AD$18,0)</f>
        <v>0</v>
      </c>
      <c r="AE152" s="49">
        <f>ROUND($Q$8*(Table24[[#This Row],[SHL_TAR_IDPs]]*$AE$3+Table24[[#This Row],[SHL_TAR_HC]]*$AE$4+Table24[[#This Row],[SHL_TAR_NDP]]*$AE$5)/$AE$18,0)</f>
        <v>0</v>
      </c>
      <c r="AF152" s="49">
        <f>ROUND($Q$8*(Table24[[#This Row],[SHL_TAR_IDPs]]*$AF$3+Table24[[#This Row],[SHL_TAR_HC]]*$AF$4+Table24[[#This Row],[SHL_TAR_NDP]]*$AF$5)/$AF$18,0)</f>
        <v>0</v>
      </c>
      <c r="AG152" s="49">
        <f>ROUND($Q$8*(Table24[[#This Row],[SHL_TAR_IDPs]]*$AG$3+Table24[[#This Row],[SHL_TAR_HC]]*$AG$4+Table24[[#This Row],[SHL_TAR_NDP]]*$AG$5)/$AG$18,0)</f>
        <v>0</v>
      </c>
      <c r="AH152" s="49">
        <f>ROUND($Q$8*(Table24[[#This Row],[SHL_TAR_IDPs]]*$AH$3+Table24[[#This Row],[SHL_TAR_HC]]*$AH$4+Table24[[#This Row],[SHL_TAR_NDP]]*$AH$5)/$AH$18,0)</f>
        <v>0</v>
      </c>
      <c r="AI152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  <c r="AK152" s="101">
        <v>0</v>
      </c>
      <c r="AL152" s="102"/>
    </row>
    <row r="153" spans="1:38" x14ac:dyDescent="0.55000000000000004">
      <c r="A153" t="s">
        <v>453</v>
      </c>
      <c r="B153" t="s">
        <v>185</v>
      </c>
      <c r="C153" t="s">
        <v>375</v>
      </c>
      <c r="D153" s="58">
        <f>_xlfn.XLOOKUP($B153, 'Prioritization calculation'!D:D, 'Prioritization calculation'!X:X, "")</f>
        <v>3</v>
      </c>
      <c r="E153" s="58">
        <v>2</v>
      </c>
      <c r="F153" s="58">
        <v>4</v>
      </c>
      <c r="G153" s="58" t="s">
        <v>573</v>
      </c>
      <c r="H153" s="58">
        <v>5350</v>
      </c>
      <c r="I153" s="58">
        <v>0</v>
      </c>
      <c r="J153" s="58">
        <v>0</v>
      </c>
      <c r="K153" s="58"/>
      <c r="L153" s="58">
        <v>0</v>
      </c>
      <c r="M153" s="58">
        <v>0</v>
      </c>
      <c r="N153" s="58">
        <v>250</v>
      </c>
      <c r="O153" s="97">
        <f>SUM(Table24[[#This Row],[SHL_PIN_IDPs]:[SHL_PIN_NDP]])</f>
        <v>0</v>
      </c>
      <c r="P153" s="98">
        <v>0</v>
      </c>
      <c r="Q153" s="98">
        <v>0</v>
      </c>
      <c r="R153" s="98">
        <v>0</v>
      </c>
      <c r="S153" s="98">
        <f>ROUND(SUM(Table24[[#This Row],[SHL_TAR_IDPs]:[SHL_TAR_NDP]]),0)</f>
        <v>0</v>
      </c>
      <c r="T153" s="48">
        <f>SUM(Table24[[#This Row],[HIDE IDP]:[HIDE NDP]])</f>
        <v>0</v>
      </c>
      <c r="U153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0</v>
      </c>
      <c r="V153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0</v>
      </c>
      <c r="W153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0</v>
      </c>
      <c r="X153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0</v>
      </c>
      <c r="Y153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0</v>
      </c>
      <c r="Z153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153" s="49">
        <f>ROUND($P$8*(Table24[[#This Row],[SHL_TAR_IDPs]]*$AA$3+Table24[[#This Row],[SHL_TAR_HC]]*$AA$4+Table24[[#This Row],[SHL_TAR_NDP]]*$AA$5)/$AA$18,0)</f>
        <v>0</v>
      </c>
      <c r="AB153" s="49">
        <f>ROUND($P$8*(Table24[[#This Row],[SHL_TAR_IDPs]]*$AB$3+Table24[[#This Row],[SHL_TAR_HC]]*$AB$4+Table24[[#This Row],[SHL_TAR_NDP]]*$AB$5)/$AB$18,0)</f>
        <v>0</v>
      </c>
      <c r="AC153" s="49">
        <f>ROUND($Q$8*(Table24[[#This Row],[SHL_TAR_IDPs]]*$AC$3+Table24[[#This Row],[SHL_TAR_HC]]*$AC$4+Table24[[#This Row],[SHL_TAR_NDP]]*$AC$5)/$AC$18,0)</f>
        <v>0</v>
      </c>
      <c r="AD153" s="49">
        <f>ROUND($Q$8*(Table24[[#This Row],[SHL_TAR_IDPs]]*$AD$3+Table24[[#This Row],[SHL_TAR_HC]]*$AD$4+Table24[[#This Row],[SHL_TAR_NDP]]*$AD$5)/$AD$18,0)</f>
        <v>0</v>
      </c>
      <c r="AE153" s="49">
        <f>ROUND($Q$8*(Table24[[#This Row],[SHL_TAR_IDPs]]*$AE$3+Table24[[#This Row],[SHL_TAR_HC]]*$AE$4+Table24[[#This Row],[SHL_TAR_NDP]]*$AE$5)/$AE$18,0)</f>
        <v>0</v>
      </c>
      <c r="AF153" s="49">
        <f>ROUND($Q$8*(Table24[[#This Row],[SHL_TAR_IDPs]]*$AF$3+Table24[[#This Row],[SHL_TAR_HC]]*$AF$4+Table24[[#This Row],[SHL_TAR_NDP]]*$AF$5)/$AF$18,0)</f>
        <v>0</v>
      </c>
      <c r="AG153" s="49">
        <f>ROUND($Q$8*(Table24[[#This Row],[SHL_TAR_IDPs]]*$AG$3+Table24[[#This Row],[SHL_TAR_HC]]*$AG$4+Table24[[#This Row],[SHL_TAR_NDP]]*$AG$5)/$AG$18,0)</f>
        <v>0</v>
      </c>
      <c r="AH153" s="49">
        <f>ROUND($Q$8*(Table24[[#This Row],[SHL_TAR_IDPs]]*$AH$3+Table24[[#This Row],[SHL_TAR_HC]]*$AH$4+Table24[[#This Row],[SHL_TAR_NDP]]*$AH$5)/$AH$18,0)</f>
        <v>0</v>
      </c>
      <c r="AI153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  <c r="AK153" s="101">
        <v>1.2E-2</v>
      </c>
      <c r="AL153" s="102"/>
    </row>
    <row r="154" spans="1:38" x14ac:dyDescent="0.55000000000000004">
      <c r="A154" t="s">
        <v>453</v>
      </c>
      <c r="B154" t="s">
        <v>186</v>
      </c>
      <c r="C154" t="s">
        <v>376</v>
      </c>
      <c r="D154" s="58">
        <f>_xlfn.XLOOKUP($B154, 'Prioritization calculation'!D:D, 'Prioritization calculation'!X:X, "")</f>
        <v>5</v>
      </c>
      <c r="E154" s="58">
        <v>5</v>
      </c>
      <c r="F154" s="58">
        <v>4</v>
      </c>
      <c r="G154" s="58" t="s">
        <v>573</v>
      </c>
      <c r="H154" s="58">
        <v>108050</v>
      </c>
      <c r="I154" s="58">
        <v>122735</v>
      </c>
      <c r="J154" s="58">
        <v>2500</v>
      </c>
      <c r="K154" s="58"/>
      <c r="L154" s="58">
        <v>0</v>
      </c>
      <c r="M154" s="58">
        <v>318181</v>
      </c>
      <c r="N154" s="58">
        <v>209852.44065654377</v>
      </c>
      <c r="O154" s="97">
        <f>SUM(Table24[[#This Row],[SHL_PIN_IDPs]:[SHL_PIN_NDP]])</f>
        <v>411086</v>
      </c>
      <c r="P154" s="98">
        <v>346381</v>
      </c>
      <c r="Q154" s="98">
        <v>5270</v>
      </c>
      <c r="R154" s="98">
        <v>59435</v>
      </c>
      <c r="S154" s="98">
        <f>ROUND(SUM(Table24[[#This Row],[SHL_TAR_IDPs]:[SHL_TAR_NDP]]),0)</f>
        <v>76063</v>
      </c>
      <c r="T154" s="48">
        <f>SUM(Table24[[#This Row],[HIDE IDP]:[HIDE NDP]])</f>
        <v>76062.7</v>
      </c>
      <c r="U154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69276</v>
      </c>
      <c r="V154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843.2</v>
      </c>
      <c r="W154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5943.5</v>
      </c>
      <c r="X154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69276</v>
      </c>
      <c r="Y154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843.2</v>
      </c>
      <c r="Z154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5943.5</v>
      </c>
      <c r="AA154" s="49">
        <f>ROUND($P$8*(Table24[[#This Row],[SHL_TAR_IDPs]]*$AA$3+Table24[[#This Row],[SHL_TAR_HC]]*$AA$4+Table24[[#This Row],[SHL_TAR_NDP]]*$AA$5)/$AA$18,0)</f>
        <v>6465</v>
      </c>
      <c r="AB154" s="49">
        <f>ROUND($P$8*(Table24[[#This Row],[SHL_TAR_IDPs]]*$AB$3+Table24[[#This Row],[SHL_TAR_HC]]*$AB$4+Table24[[#This Row],[SHL_TAR_NDP]]*$AB$5)/$AB$18,0)</f>
        <v>6465</v>
      </c>
      <c r="AC154" s="49">
        <f>ROUND($Q$8*(Table24[[#This Row],[SHL_TAR_IDPs]]*$AC$3+Table24[[#This Row],[SHL_TAR_HC]]*$AC$4+Table24[[#This Row],[SHL_TAR_NDP]]*$AC$5)/$AC$18,0)</f>
        <v>693</v>
      </c>
      <c r="AD154" s="49">
        <f>ROUND($Q$8*(Table24[[#This Row],[SHL_TAR_IDPs]]*$AD$3+Table24[[#This Row],[SHL_TAR_HC]]*$AD$4+Table24[[#This Row],[SHL_TAR_NDP]]*$AD$5)/$AD$18,0)</f>
        <v>693</v>
      </c>
      <c r="AE154" s="49">
        <f>ROUND($Q$8*(Table24[[#This Row],[SHL_TAR_IDPs]]*$AE$3+Table24[[#This Row],[SHL_TAR_HC]]*$AE$4+Table24[[#This Row],[SHL_TAR_NDP]]*$AE$5)/$AE$18,0)</f>
        <v>761</v>
      </c>
      <c r="AF154" s="49">
        <f>ROUND($Q$8*(Table24[[#This Row],[SHL_TAR_IDPs]]*$AF$3+Table24[[#This Row],[SHL_TAR_HC]]*$AF$4+Table24[[#This Row],[SHL_TAR_NDP]]*$AF$5)/$AF$18,0)</f>
        <v>1521</v>
      </c>
      <c r="AG154" s="49">
        <f>ROUND($Q$8*(Table24[[#This Row],[SHL_TAR_IDPs]]*$AG$3+Table24[[#This Row],[SHL_TAR_HC]]*$AG$4+Table24[[#This Row],[SHL_TAR_NDP]]*$AG$5)/$AG$18,0)</f>
        <v>2545</v>
      </c>
      <c r="AH154" s="49">
        <f>ROUND($Q$8*(Table24[[#This Row],[SHL_TAR_IDPs]]*$AH$3+Table24[[#This Row],[SHL_TAR_HC]]*$AH$4+Table24[[#This Row],[SHL_TAR_NDP]]*$AH$5)/$AH$18,0)</f>
        <v>1394</v>
      </c>
      <c r="AI154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  <c r="AK154" s="101">
        <v>0.03</v>
      </c>
      <c r="AL154" s="102"/>
    </row>
    <row r="155" spans="1:38" x14ac:dyDescent="0.55000000000000004">
      <c r="A155" t="s">
        <v>453</v>
      </c>
      <c r="B155" t="s">
        <v>187</v>
      </c>
      <c r="C155" t="s">
        <v>377</v>
      </c>
      <c r="D155" s="58">
        <f>_xlfn.XLOOKUP($B155, 'Prioritization calculation'!D:D, 'Prioritization calculation'!X:X, "")</f>
        <v>4</v>
      </c>
      <c r="E155" s="58">
        <v>3</v>
      </c>
      <c r="F155" s="58">
        <v>3</v>
      </c>
      <c r="G155" s="58" t="s">
        <v>573</v>
      </c>
      <c r="H155" s="58">
        <v>15250</v>
      </c>
      <c r="I155" s="58">
        <v>2425</v>
      </c>
      <c r="J155" s="58">
        <v>0</v>
      </c>
      <c r="K155" s="58"/>
      <c r="L155" s="58">
        <v>0</v>
      </c>
      <c r="M155" s="58">
        <v>21204</v>
      </c>
      <c r="N155" s="58">
        <v>700.50535631113178</v>
      </c>
      <c r="O155" s="97">
        <f>SUM(Table24[[#This Row],[SHL_PIN_IDPs]:[SHL_PIN_NDP]])</f>
        <v>37270</v>
      </c>
      <c r="P155" s="98">
        <v>17188</v>
      </c>
      <c r="Q155" s="98">
        <v>8733</v>
      </c>
      <c r="R155" s="98">
        <v>11349</v>
      </c>
      <c r="S155" s="98">
        <f>ROUND(SUM(Table24[[#This Row],[SHL_TAR_IDPs]:[SHL_TAR_NDP]]),0)</f>
        <v>10300</v>
      </c>
      <c r="T155" s="100">
        <f>SUM(Table24[[#This Row],[HIDE IDP]:[HIDE NDP]])</f>
        <v>2984.9</v>
      </c>
      <c r="U155" s="100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1719</v>
      </c>
      <c r="V155" s="100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698.40000000000009</v>
      </c>
      <c r="W155" s="100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567.5</v>
      </c>
      <c r="X155" s="98">
        <v>5300</v>
      </c>
      <c r="Y155" s="98">
        <v>3000</v>
      </c>
      <c r="Z155" s="98">
        <v>2000</v>
      </c>
      <c r="AA155" s="49">
        <f>ROUND($P$8*(Table24[[#This Row],[SHL_TAR_IDPs]]*$AA$3+Table24[[#This Row],[SHL_TAR_HC]]*$AA$4+Table24[[#This Row],[SHL_TAR_NDP]]*$AA$5)/$AA$18,0)</f>
        <v>876</v>
      </c>
      <c r="AB155" s="49">
        <f>ROUND($P$8*(Table24[[#This Row],[SHL_TAR_IDPs]]*$AB$3+Table24[[#This Row],[SHL_TAR_HC]]*$AB$4+Table24[[#This Row],[SHL_TAR_NDP]]*$AB$5)/$AB$18,0)</f>
        <v>876</v>
      </c>
      <c r="AC155" s="49">
        <f>ROUND($Q$8*(Table24[[#This Row],[SHL_TAR_IDPs]]*$AC$3+Table24[[#This Row],[SHL_TAR_HC]]*$AC$4+Table24[[#This Row],[SHL_TAR_NDP]]*$AC$5)/$AC$18,0)</f>
        <v>53</v>
      </c>
      <c r="AD155" s="49">
        <f>ROUND($Q$8*(Table24[[#This Row],[SHL_TAR_IDPs]]*$AD$3+Table24[[#This Row],[SHL_TAR_HC]]*$AD$4+Table24[[#This Row],[SHL_TAR_NDP]]*$AD$5)/$AD$18,0)</f>
        <v>53</v>
      </c>
      <c r="AE155" s="49">
        <f>ROUND($Q$8*(Table24[[#This Row],[SHL_TAR_IDPs]]*$AE$3+Table24[[#This Row],[SHL_TAR_HC]]*$AE$4+Table24[[#This Row],[SHL_TAR_NDP]]*$AE$5)/$AE$18,0)</f>
        <v>103</v>
      </c>
      <c r="AF155" s="49">
        <f>ROUND($Q$8*(Table24[[#This Row],[SHL_TAR_IDPs]]*$AF$3+Table24[[#This Row],[SHL_TAR_HC]]*$AF$4+Table24[[#This Row],[SHL_TAR_NDP]]*$AF$5)/$AF$18,0)</f>
        <v>206</v>
      </c>
      <c r="AG155" s="49">
        <f>ROUND($Q$8*(Table24[[#This Row],[SHL_TAR_IDPs]]*$AG$3+Table24[[#This Row],[SHL_TAR_HC]]*$AG$4+Table24[[#This Row],[SHL_TAR_NDP]]*$AG$5)/$AG$18,0)</f>
        <v>479</v>
      </c>
      <c r="AH155" s="49">
        <f>ROUND($Q$8*(Table24[[#This Row],[SHL_TAR_IDPs]]*$AH$3+Table24[[#This Row],[SHL_TAR_HC]]*$AH$4+Table24[[#This Row],[SHL_TAR_NDP]]*$AH$5)/$AH$18,0)</f>
        <v>136</v>
      </c>
      <c r="AI155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  <c r="AK155" s="101">
        <v>2.7E-2</v>
      </c>
      <c r="AL155" s="102"/>
    </row>
    <row r="156" spans="1:38" x14ac:dyDescent="0.55000000000000004">
      <c r="A156" t="s">
        <v>453</v>
      </c>
      <c r="B156" t="s">
        <v>188</v>
      </c>
      <c r="C156" t="s">
        <v>378</v>
      </c>
      <c r="D156" s="58">
        <f>_xlfn.XLOOKUP($B156, 'Prioritization calculation'!D:D, 'Prioritization calculation'!X:X, "")</f>
        <v>3</v>
      </c>
      <c r="E156" s="58">
        <v>2</v>
      </c>
      <c r="F156" s="58">
        <v>3</v>
      </c>
      <c r="G156" s="58" t="s">
        <v>573</v>
      </c>
      <c r="H156" s="58">
        <v>2500</v>
      </c>
      <c r="I156" s="58">
        <v>6140</v>
      </c>
      <c r="J156" s="58">
        <v>0</v>
      </c>
      <c r="K156" s="58"/>
      <c r="L156" s="58">
        <v>0</v>
      </c>
      <c r="M156" s="58">
        <v>0</v>
      </c>
      <c r="N156" s="58">
        <v>2213.5927734375</v>
      </c>
      <c r="O156" s="97">
        <f>SUM(Table24[[#This Row],[SHL_PIN_IDPs]:[SHL_PIN_NDP]])</f>
        <v>0</v>
      </c>
      <c r="P156" s="98">
        <v>0</v>
      </c>
      <c r="Q156" s="98">
        <v>0</v>
      </c>
      <c r="R156" s="98">
        <v>0</v>
      </c>
      <c r="S156" s="98">
        <f>ROUND(SUM(Table24[[#This Row],[SHL_TAR_IDPs]:[SHL_TAR_NDP]]),0)</f>
        <v>0</v>
      </c>
      <c r="T156" s="48">
        <f>SUM(Table24[[#This Row],[HIDE IDP]:[HIDE NDP]])</f>
        <v>0</v>
      </c>
      <c r="U156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0</v>
      </c>
      <c r="V156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0</v>
      </c>
      <c r="W156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0</v>
      </c>
      <c r="X156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0</v>
      </c>
      <c r="Y156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0</v>
      </c>
      <c r="Z156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156" s="49">
        <f>ROUND($P$8*(Table24[[#This Row],[SHL_TAR_IDPs]]*$AA$3+Table24[[#This Row],[SHL_TAR_HC]]*$AA$4+Table24[[#This Row],[SHL_TAR_NDP]]*$AA$5)/$AA$18,0)</f>
        <v>0</v>
      </c>
      <c r="AB156" s="49">
        <f>ROUND($P$8*(Table24[[#This Row],[SHL_TAR_IDPs]]*$AB$3+Table24[[#This Row],[SHL_TAR_HC]]*$AB$4+Table24[[#This Row],[SHL_TAR_NDP]]*$AB$5)/$AB$18,0)</f>
        <v>0</v>
      </c>
      <c r="AC156" s="49">
        <f>ROUND($Q$8*(Table24[[#This Row],[SHL_TAR_IDPs]]*$AC$3+Table24[[#This Row],[SHL_TAR_HC]]*$AC$4+Table24[[#This Row],[SHL_TAR_NDP]]*$AC$5)/$AC$18,0)</f>
        <v>0</v>
      </c>
      <c r="AD156" s="49">
        <f>ROUND($Q$8*(Table24[[#This Row],[SHL_TAR_IDPs]]*$AD$3+Table24[[#This Row],[SHL_TAR_HC]]*$AD$4+Table24[[#This Row],[SHL_TAR_NDP]]*$AD$5)/$AD$18,0)</f>
        <v>0</v>
      </c>
      <c r="AE156" s="49">
        <f>ROUND($Q$8*(Table24[[#This Row],[SHL_TAR_IDPs]]*$AE$3+Table24[[#This Row],[SHL_TAR_HC]]*$AE$4+Table24[[#This Row],[SHL_TAR_NDP]]*$AE$5)/$AE$18,0)</f>
        <v>0</v>
      </c>
      <c r="AF156" s="49">
        <f>ROUND($Q$8*(Table24[[#This Row],[SHL_TAR_IDPs]]*$AF$3+Table24[[#This Row],[SHL_TAR_HC]]*$AF$4+Table24[[#This Row],[SHL_TAR_NDP]]*$AF$5)/$AF$18,0)</f>
        <v>0</v>
      </c>
      <c r="AG156" s="49">
        <f>ROUND($Q$8*(Table24[[#This Row],[SHL_TAR_IDPs]]*$AG$3+Table24[[#This Row],[SHL_TAR_HC]]*$AG$4+Table24[[#This Row],[SHL_TAR_NDP]]*$AG$5)/$AG$18,0)</f>
        <v>0</v>
      </c>
      <c r="AH156" s="49">
        <f>ROUND($Q$8*(Table24[[#This Row],[SHL_TAR_IDPs]]*$AH$3+Table24[[#This Row],[SHL_TAR_HC]]*$AH$4+Table24[[#This Row],[SHL_TAR_NDP]]*$AH$5)/$AH$18,0)</f>
        <v>0</v>
      </c>
      <c r="AI156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  <c r="AK156" s="101">
        <v>0</v>
      </c>
      <c r="AL156" s="102"/>
    </row>
    <row r="157" spans="1:38" x14ac:dyDescent="0.55000000000000004">
      <c r="A157" t="s">
        <v>453</v>
      </c>
      <c r="B157" t="s">
        <v>189</v>
      </c>
      <c r="C157" t="s">
        <v>379</v>
      </c>
      <c r="D157" s="58">
        <f>_xlfn.XLOOKUP($B157, 'Prioritization calculation'!D:D, 'Prioritization calculation'!X:X, "")</f>
        <v>4</v>
      </c>
      <c r="E157" s="58">
        <v>3</v>
      </c>
      <c r="F157" s="58">
        <v>4</v>
      </c>
      <c r="G157" s="58" t="s">
        <v>573</v>
      </c>
      <c r="H157" s="58">
        <v>3850</v>
      </c>
      <c r="I157" s="58">
        <v>0</v>
      </c>
      <c r="J157" s="58">
        <v>0</v>
      </c>
      <c r="K157" s="58"/>
      <c r="L157" s="58">
        <v>0</v>
      </c>
      <c r="M157" s="58">
        <v>3200</v>
      </c>
      <c r="N157" s="58">
        <v>1805</v>
      </c>
      <c r="O157" s="97">
        <f>SUM(Table24[[#This Row],[SHL_PIN_IDPs]:[SHL_PIN_NDP]])</f>
        <v>19821</v>
      </c>
      <c r="P157" s="98">
        <v>1444</v>
      </c>
      <c r="Q157" s="98">
        <v>722</v>
      </c>
      <c r="R157" s="98">
        <v>17655</v>
      </c>
      <c r="S157" s="98">
        <f>ROUND(SUM(Table24[[#This Row],[SHL_TAR_IDPs]:[SHL_TAR_NDP]]),0)</f>
        <v>2600</v>
      </c>
      <c r="T157" s="100">
        <f>SUM(Table24[[#This Row],[HIDE IDP]:[HIDE NDP]])</f>
        <v>1084.5999999999999</v>
      </c>
      <c r="U157" s="100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144</v>
      </c>
      <c r="V157" s="100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57.6</v>
      </c>
      <c r="W157" s="100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883</v>
      </c>
      <c r="X157" s="98">
        <v>1000</v>
      </c>
      <c r="Y157" s="9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0</v>
      </c>
      <c r="Z157" s="98">
        <v>1600</v>
      </c>
      <c r="AA157" s="49">
        <f>ROUND($P$8*(Table24[[#This Row],[SHL_TAR_IDPs]]*$AA$3+Table24[[#This Row],[SHL_TAR_HC]]*$AA$4+Table24[[#This Row],[SHL_TAR_NDP]]*$AA$5)/$AA$18,0)</f>
        <v>221</v>
      </c>
      <c r="AB157" s="49">
        <f>ROUND($P$8*(Table24[[#This Row],[SHL_TAR_IDPs]]*$AB$3+Table24[[#This Row],[SHL_TAR_HC]]*$AB$4+Table24[[#This Row],[SHL_TAR_NDP]]*$AB$5)/$AB$18,0)</f>
        <v>221</v>
      </c>
      <c r="AC157" s="49">
        <f>ROUND($Q$8*(Table24[[#This Row],[SHL_TAR_IDPs]]*$AC$3+Table24[[#This Row],[SHL_TAR_HC]]*$AC$4+Table24[[#This Row],[SHL_TAR_NDP]]*$AC$5)/$AC$18,0)</f>
        <v>10</v>
      </c>
      <c r="AD157" s="49">
        <f>ROUND($Q$8*(Table24[[#This Row],[SHL_TAR_IDPs]]*$AD$3+Table24[[#This Row],[SHL_TAR_HC]]*$AD$4+Table24[[#This Row],[SHL_TAR_NDP]]*$AD$5)/$AD$18,0)</f>
        <v>10</v>
      </c>
      <c r="AE157" s="49">
        <f>ROUND($Q$8*(Table24[[#This Row],[SHL_TAR_IDPs]]*$AE$3+Table24[[#This Row],[SHL_TAR_HC]]*$AE$4+Table24[[#This Row],[SHL_TAR_NDP]]*$AE$5)/$AE$18,0)</f>
        <v>26</v>
      </c>
      <c r="AF157" s="49">
        <f>ROUND($Q$8*(Table24[[#This Row],[SHL_TAR_IDPs]]*$AF$3+Table24[[#This Row],[SHL_TAR_HC]]*$AF$4+Table24[[#This Row],[SHL_TAR_NDP]]*$AF$5)/$AF$18,0)</f>
        <v>52</v>
      </c>
      <c r="AG157" s="49">
        <f>ROUND($Q$8*(Table24[[#This Row],[SHL_TAR_IDPs]]*$AG$3+Table24[[#This Row],[SHL_TAR_HC]]*$AG$4+Table24[[#This Row],[SHL_TAR_NDP]]*$AG$5)/$AG$18,0)</f>
        <v>142</v>
      </c>
      <c r="AH157" s="49">
        <f>ROUND($Q$8*(Table24[[#This Row],[SHL_TAR_IDPs]]*$AH$3+Table24[[#This Row],[SHL_TAR_HC]]*$AH$4+Table24[[#This Row],[SHL_TAR_NDP]]*$AH$5)/$AH$18,0)</f>
        <v>20</v>
      </c>
      <c r="AI157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  <c r="AK157" s="101">
        <v>0.114</v>
      </c>
      <c r="AL157" s="102"/>
    </row>
    <row r="158" spans="1:38" x14ac:dyDescent="0.55000000000000004">
      <c r="A158" t="s">
        <v>453</v>
      </c>
      <c r="B158" t="s">
        <v>190</v>
      </c>
      <c r="C158" t="s">
        <v>380</v>
      </c>
      <c r="D158" s="58">
        <f>_xlfn.XLOOKUP($B158, 'Prioritization calculation'!D:D, 'Prioritization calculation'!X:X, "")</f>
        <v>5</v>
      </c>
      <c r="E158" s="58">
        <v>4</v>
      </c>
      <c r="F158" s="58">
        <v>4</v>
      </c>
      <c r="G158" s="58" t="s">
        <v>573</v>
      </c>
      <c r="H158" s="58">
        <v>0</v>
      </c>
      <c r="I158" s="58">
        <v>36600</v>
      </c>
      <c r="J158" s="58">
        <v>0</v>
      </c>
      <c r="K158" s="58"/>
      <c r="L158" s="58">
        <v>0</v>
      </c>
      <c r="M158" s="58">
        <v>58471</v>
      </c>
      <c r="N158" s="58">
        <v>67448.490200396394</v>
      </c>
      <c r="O158" s="97">
        <f>SUM(Table24[[#This Row],[SHL_PIN_IDPs]:[SHL_PIN_NDP]])</f>
        <v>101629</v>
      </c>
      <c r="P158" s="98">
        <v>81739</v>
      </c>
      <c r="Q158" s="98">
        <v>6330</v>
      </c>
      <c r="R158" s="98">
        <v>13560</v>
      </c>
      <c r="S158" s="98">
        <f>ROUND(SUM(Table24[[#This Row],[SHL_TAR_IDPs]:[SHL_TAR_NDP]]),0)</f>
        <v>9358</v>
      </c>
      <c r="T158" s="48">
        <f>SUM(Table24[[#This Row],[HIDE IDP]:[HIDE NDP]])</f>
        <v>9358.4</v>
      </c>
      <c r="U158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8174</v>
      </c>
      <c r="V158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506.40000000000003</v>
      </c>
      <c r="W158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678</v>
      </c>
      <c r="X158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8174</v>
      </c>
      <c r="Y158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506.40000000000003</v>
      </c>
      <c r="Z158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678</v>
      </c>
      <c r="AA158" s="49">
        <f>ROUND($P$8*(Table24[[#This Row],[SHL_TAR_IDPs]]*$AA$3+Table24[[#This Row],[SHL_TAR_HC]]*$AA$4+Table24[[#This Row],[SHL_TAR_NDP]]*$AA$5)/$AA$18,0)</f>
        <v>795</v>
      </c>
      <c r="AB158" s="49">
        <f>ROUND($P$8*(Table24[[#This Row],[SHL_TAR_IDPs]]*$AB$3+Table24[[#This Row],[SHL_TAR_HC]]*$AB$4+Table24[[#This Row],[SHL_TAR_NDP]]*$AB$5)/$AB$18,0)</f>
        <v>795</v>
      </c>
      <c r="AC158" s="49">
        <f>ROUND($Q$8*(Table24[[#This Row],[SHL_TAR_IDPs]]*$AC$3+Table24[[#This Row],[SHL_TAR_HC]]*$AC$4+Table24[[#This Row],[SHL_TAR_NDP]]*$AC$5)/$AC$18,0)</f>
        <v>82</v>
      </c>
      <c r="AD158" s="49">
        <f>ROUND($Q$8*(Table24[[#This Row],[SHL_TAR_IDPs]]*$AD$3+Table24[[#This Row],[SHL_TAR_HC]]*$AD$4+Table24[[#This Row],[SHL_TAR_NDP]]*$AD$5)/$AD$18,0)</f>
        <v>82</v>
      </c>
      <c r="AE158" s="49">
        <f>ROUND($Q$8*(Table24[[#This Row],[SHL_TAR_IDPs]]*$AE$3+Table24[[#This Row],[SHL_TAR_HC]]*$AE$4+Table24[[#This Row],[SHL_TAR_NDP]]*$AE$5)/$AE$18,0)</f>
        <v>94</v>
      </c>
      <c r="AF158" s="49">
        <f>ROUND($Q$8*(Table24[[#This Row],[SHL_TAR_IDPs]]*$AF$3+Table24[[#This Row],[SHL_TAR_HC]]*$AF$4+Table24[[#This Row],[SHL_TAR_NDP]]*$AF$5)/$AF$18,0)</f>
        <v>187</v>
      </c>
      <c r="AG158" s="49">
        <f>ROUND($Q$8*(Table24[[#This Row],[SHL_TAR_IDPs]]*$AG$3+Table24[[#This Row],[SHL_TAR_HC]]*$AG$4+Table24[[#This Row],[SHL_TAR_NDP]]*$AG$5)/$AG$18,0)</f>
        <v>323</v>
      </c>
      <c r="AH158" s="49">
        <f>ROUND($Q$8*(Table24[[#This Row],[SHL_TAR_IDPs]]*$AH$3+Table24[[#This Row],[SHL_TAR_HC]]*$AH$4+Table24[[#This Row],[SHL_TAR_NDP]]*$AH$5)/$AH$18,0)</f>
        <v>169</v>
      </c>
      <c r="AI158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  <c r="AK158" s="101">
        <v>2E-3</v>
      </c>
      <c r="AL158" s="102"/>
    </row>
    <row r="159" spans="1:38" x14ac:dyDescent="0.55000000000000004">
      <c r="A159" t="s">
        <v>453</v>
      </c>
      <c r="B159" t="s">
        <v>191</v>
      </c>
      <c r="C159" t="s">
        <v>381</v>
      </c>
      <c r="D159" s="58">
        <f>_xlfn.XLOOKUP($B159, 'Prioritization calculation'!D:D, 'Prioritization calculation'!X:X, "")</f>
        <v>3</v>
      </c>
      <c r="E159" s="58">
        <v>4</v>
      </c>
      <c r="F159" s="58">
        <v>4</v>
      </c>
      <c r="G159" s="58" t="s">
        <v>573</v>
      </c>
      <c r="H159" s="58">
        <v>42725</v>
      </c>
      <c r="I159" s="58">
        <v>17500</v>
      </c>
      <c r="J159" s="58">
        <v>0</v>
      </c>
      <c r="K159" s="58"/>
      <c r="L159" s="58">
        <v>690</v>
      </c>
      <c r="M159" s="58">
        <v>56193</v>
      </c>
      <c r="N159" s="58">
        <v>46305.718962358151</v>
      </c>
      <c r="O159" s="97">
        <f>SUM(Table24[[#This Row],[SHL_PIN_IDPs]:[SHL_PIN_NDP]])</f>
        <v>114080</v>
      </c>
      <c r="P159" s="98">
        <v>76842</v>
      </c>
      <c r="Q159" s="98">
        <v>37238</v>
      </c>
      <c r="R159" s="98">
        <v>0</v>
      </c>
      <c r="S159" s="98">
        <f>ROUND(SUM(Table24[[#This Row],[SHL_TAR_IDPs]:[SHL_TAR_NDP]]),0)</f>
        <v>42653</v>
      </c>
      <c r="T159" s="48">
        <f>SUM(Table24[[#This Row],[HIDE IDP]:[HIDE NDP]])</f>
        <v>42653</v>
      </c>
      <c r="U159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30737</v>
      </c>
      <c r="V159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11916</v>
      </c>
      <c r="W159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0</v>
      </c>
      <c r="X159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30737</v>
      </c>
      <c r="Y159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11916</v>
      </c>
      <c r="Z159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159" s="49">
        <f>ROUND($P$8*(Table24[[#This Row],[SHL_TAR_IDPs]]*$AA$3+Table24[[#This Row],[SHL_TAR_HC]]*$AA$4+Table24[[#This Row],[SHL_TAR_NDP]]*$AA$5)/$AA$18,0)</f>
        <v>3626</v>
      </c>
      <c r="AB159" s="49">
        <f>ROUND($P$8*(Table24[[#This Row],[SHL_TAR_IDPs]]*$AB$3+Table24[[#This Row],[SHL_TAR_HC]]*$AB$4+Table24[[#This Row],[SHL_TAR_NDP]]*$AB$5)/$AB$18,0)</f>
        <v>3626</v>
      </c>
      <c r="AC159" s="49">
        <f>ROUND($Q$8*(Table24[[#This Row],[SHL_TAR_IDPs]]*$AC$3+Table24[[#This Row],[SHL_TAR_HC]]*$AC$4+Table24[[#This Row],[SHL_TAR_NDP]]*$AC$5)/$AC$18,0)</f>
        <v>307</v>
      </c>
      <c r="AD159" s="49">
        <f>ROUND($Q$8*(Table24[[#This Row],[SHL_TAR_IDPs]]*$AD$3+Table24[[#This Row],[SHL_TAR_HC]]*$AD$4+Table24[[#This Row],[SHL_TAR_NDP]]*$AD$5)/$AD$18,0)</f>
        <v>307</v>
      </c>
      <c r="AE159" s="49">
        <f>ROUND($Q$8*(Table24[[#This Row],[SHL_TAR_IDPs]]*$AE$3+Table24[[#This Row],[SHL_TAR_HC]]*$AE$4+Table24[[#This Row],[SHL_TAR_NDP]]*$AE$5)/$AE$18,0)</f>
        <v>427</v>
      </c>
      <c r="AF159" s="49">
        <f>ROUND($Q$8*(Table24[[#This Row],[SHL_TAR_IDPs]]*$AF$3+Table24[[#This Row],[SHL_TAR_HC]]*$AF$4+Table24[[#This Row],[SHL_TAR_NDP]]*$AF$5)/$AF$18,0)</f>
        <v>853</v>
      </c>
      <c r="AG159" s="49">
        <f>ROUND($Q$8*(Table24[[#This Row],[SHL_TAR_IDPs]]*$AG$3+Table24[[#This Row],[SHL_TAR_HC]]*$AG$4+Table24[[#This Row],[SHL_TAR_NDP]]*$AG$5)/$AG$18,0)</f>
        <v>1637</v>
      </c>
      <c r="AH159" s="49">
        <f>ROUND($Q$8*(Table24[[#This Row],[SHL_TAR_IDPs]]*$AH$3+Table24[[#This Row],[SHL_TAR_HC]]*$AH$4+Table24[[#This Row],[SHL_TAR_NDP]]*$AH$5)/$AH$18,0)</f>
        <v>734</v>
      </c>
      <c r="AI159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  <c r="AK159" s="101">
        <v>0</v>
      </c>
      <c r="AL159" s="102"/>
    </row>
    <row r="160" spans="1:38" x14ac:dyDescent="0.55000000000000004">
      <c r="A160" t="s">
        <v>453</v>
      </c>
      <c r="B160" t="s">
        <v>192</v>
      </c>
      <c r="C160" t="s">
        <v>382</v>
      </c>
      <c r="D160" s="58">
        <f>_xlfn.XLOOKUP($B160, 'Prioritization calculation'!D:D, 'Prioritization calculation'!X:X, "")</f>
        <v>3</v>
      </c>
      <c r="E160" s="58">
        <v>2</v>
      </c>
      <c r="F160" s="58">
        <v>5</v>
      </c>
      <c r="G160" s="58" t="s">
        <v>573</v>
      </c>
      <c r="H160" s="58">
        <v>3650</v>
      </c>
      <c r="I160" s="58">
        <v>1430</v>
      </c>
      <c r="J160" s="58">
        <v>0</v>
      </c>
      <c r="K160" s="58"/>
      <c r="L160" s="58">
        <v>0</v>
      </c>
      <c r="M160" s="58">
        <v>0</v>
      </c>
      <c r="N160" s="58">
        <v>3164.7033707865171</v>
      </c>
      <c r="O160" s="97">
        <f>SUM(Table24[[#This Row],[SHL_PIN_IDPs]:[SHL_PIN_NDP]])</f>
        <v>0</v>
      </c>
      <c r="P160" s="98">
        <v>0</v>
      </c>
      <c r="Q160" s="98">
        <v>0</v>
      </c>
      <c r="R160" s="98">
        <v>0</v>
      </c>
      <c r="S160" s="98">
        <f>ROUND(SUM(Table24[[#This Row],[SHL_TAR_IDPs]:[SHL_TAR_NDP]]),0)</f>
        <v>0</v>
      </c>
      <c r="T160" s="48">
        <f>SUM(Table24[[#This Row],[HIDE IDP]:[HIDE NDP]])</f>
        <v>0</v>
      </c>
      <c r="U160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0</v>
      </c>
      <c r="V160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0</v>
      </c>
      <c r="W160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0</v>
      </c>
      <c r="X160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0</v>
      </c>
      <c r="Y160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0</v>
      </c>
      <c r="Z160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160" s="49">
        <f>ROUND($P$8*(Table24[[#This Row],[SHL_TAR_IDPs]]*$AA$3+Table24[[#This Row],[SHL_TAR_HC]]*$AA$4+Table24[[#This Row],[SHL_TAR_NDP]]*$AA$5)/$AA$18,0)</f>
        <v>0</v>
      </c>
      <c r="AB160" s="49">
        <f>ROUND($P$8*(Table24[[#This Row],[SHL_TAR_IDPs]]*$AB$3+Table24[[#This Row],[SHL_TAR_HC]]*$AB$4+Table24[[#This Row],[SHL_TAR_NDP]]*$AB$5)/$AB$18,0)</f>
        <v>0</v>
      </c>
      <c r="AC160" s="49">
        <f>ROUND($Q$8*(Table24[[#This Row],[SHL_TAR_IDPs]]*$AC$3+Table24[[#This Row],[SHL_TAR_HC]]*$AC$4+Table24[[#This Row],[SHL_TAR_NDP]]*$AC$5)/$AC$18,0)</f>
        <v>0</v>
      </c>
      <c r="AD160" s="49">
        <f>ROUND($Q$8*(Table24[[#This Row],[SHL_TAR_IDPs]]*$AD$3+Table24[[#This Row],[SHL_TAR_HC]]*$AD$4+Table24[[#This Row],[SHL_TAR_NDP]]*$AD$5)/$AD$18,0)</f>
        <v>0</v>
      </c>
      <c r="AE160" s="49">
        <f>ROUND($Q$8*(Table24[[#This Row],[SHL_TAR_IDPs]]*$AE$3+Table24[[#This Row],[SHL_TAR_HC]]*$AE$4+Table24[[#This Row],[SHL_TAR_NDP]]*$AE$5)/$AE$18,0)</f>
        <v>0</v>
      </c>
      <c r="AF160" s="49">
        <f>ROUND($Q$8*(Table24[[#This Row],[SHL_TAR_IDPs]]*$AF$3+Table24[[#This Row],[SHL_TAR_HC]]*$AF$4+Table24[[#This Row],[SHL_TAR_NDP]]*$AF$5)/$AF$18,0)</f>
        <v>0</v>
      </c>
      <c r="AG160" s="49">
        <f>ROUND($Q$8*(Table24[[#This Row],[SHL_TAR_IDPs]]*$AG$3+Table24[[#This Row],[SHL_TAR_HC]]*$AG$4+Table24[[#This Row],[SHL_TAR_NDP]]*$AG$5)/$AG$18,0)</f>
        <v>0</v>
      </c>
      <c r="AH160" s="49">
        <f>ROUND($Q$8*(Table24[[#This Row],[SHL_TAR_IDPs]]*$AH$3+Table24[[#This Row],[SHL_TAR_HC]]*$AH$4+Table24[[#This Row],[SHL_TAR_NDP]]*$AH$5)/$AH$18,0)</f>
        <v>0</v>
      </c>
      <c r="AI160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  <c r="AK160" s="101">
        <v>0.10299999999999999</v>
      </c>
      <c r="AL160" s="102"/>
    </row>
    <row r="161" spans="1:38" x14ac:dyDescent="0.55000000000000004">
      <c r="A161" t="s">
        <v>453</v>
      </c>
      <c r="B161" t="s">
        <v>193</v>
      </c>
      <c r="C161" t="s">
        <v>383</v>
      </c>
      <c r="D161" s="58">
        <f>_xlfn.XLOOKUP($B161, 'Prioritization calculation'!D:D, 'Prioritization calculation'!X:X, "")</f>
        <v>4</v>
      </c>
      <c r="E161" s="58">
        <v>3</v>
      </c>
      <c r="F161" s="58">
        <v>4</v>
      </c>
      <c r="G161" s="58" t="s">
        <v>573</v>
      </c>
      <c r="H161" s="58">
        <v>1500</v>
      </c>
      <c r="I161" s="58">
        <v>0</v>
      </c>
      <c r="J161" s="58">
        <v>0</v>
      </c>
      <c r="K161" s="58"/>
      <c r="L161" s="58">
        <v>0</v>
      </c>
      <c r="M161" s="58">
        <v>5134</v>
      </c>
      <c r="N161" s="58">
        <v>1866</v>
      </c>
      <c r="O161" s="97">
        <f>SUM(Table24[[#This Row],[SHL_PIN_IDPs]:[SHL_PIN_NDP]])</f>
        <v>19701</v>
      </c>
      <c r="P161" s="98">
        <v>1493</v>
      </c>
      <c r="Q161" s="98">
        <v>746</v>
      </c>
      <c r="R161" s="98">
        <v>17462</v>
      </c>
      <c r="S161" s="98">
        <f>ROUND(SUM(Table24[[#This Row],[SHL_TAR_IDPs]:[SHL_TAR_NDP]]),0)</f>
        <v>200</v>
      </c>
      <c r="T161" s="100">
        <f>SUM(Table24[[#This Row],[HIDE IDP]:[HIDE NDP]])</f>
        <v>1082</v>
      </c>
      <c r="U161" s="100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149</v>
      </c>
      <c r="V161" s="100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60</v>
      </c>
      <c r="W161" s="100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873</v>
      </c>
      <c r="X161" s="98">
        <f>100000*AK161</f>
        <v>200</v>
      </c>
      <c r="Y161" s="9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0</v>
      </c>
      <c r="Z161" s="9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161" s="49">
        <f>ROUND($P$8*(Table24[[#This Row],[SHL_TAR_IDPs]]*$AA$3+Table24[[#This Row],[SHL_TAR_HC]]*$AA$4+Table24[[#This Row],[SHL_TAR_NDP]]*$AA$5)/$AA$18,0)</f>
        <v>17</v>
      </c>
      <c r="AB161" s="49">
        <f>ROUND($P$8*(Table24[[#This Row],[SHL_TAR_IDPs]]*$AB$3+Table24[[#This Row],[SHL_TAR_HC]]*$AB$4+Table24[[#This Row],[SHL_TAR_NDP]]*$AB$5)/$AB$18,0)</f>
        <v>17</v>
      </c>
      <c r="AC161" s="49">
        <f>ROUND($Q$8*(Table24[[#This Row],[SHL_TAR_IDPs]]*$AC$3+Table24[[#This Row],[SHL_TAR_HC]]*$AC$4+Table24[[#This Row],[SHL_TAR_NDP]]*$AC$5)/$AC$18,0)</f>
        <v>2</v>
      </c>
      <c r="AD161" s="49">
        <f>ROUND($Q$8*(Table24[[#This Row],[SHL_TAR_IDPs]]*$AD$3+Table24[[#This Row],[SHL_TAR_HC]]*$AD$4+Table24[[#This Row],[SHL_TAR_NDP]]*$AD$5)/$AD$18,0)</f>
        <v>2</v>
      </c>
      <c r="AE161" s="49">
        <f>ROUND($Q$8*(Table24[[#This Row],[SHL_TAR_IDPs]]*$AE$3+Table24[[#This Row],[SHL_TAR_HC]]*$AE$4+Table24[[#This Row],[SHL_TAR_NDP]]*$AE$5)/$AE$18,0)</f>
        <v>2</v>
      </c>
      <c r="AF161" s="49">
        <f>ROUND($Q$8*(Table24[[#This Row],[SHL_TAR_IDPs]]*$AF$3+Table24[[#This Row],[SHL_TAR_HC]]*$AF$4+Table24[[#This Row],[SHL_TAR_NDP]]*$AF$5)/$AF$18,0)</f>
        <v>4</v>
      </c>
      <c r="AG161" s="49">
        <f>ROUND($Q$8*(Table24[[#This Row],[SHL_TAR_IDPs]]*$AG$3+Table24[[#This Row],[SHL_TAR_HC]]*$AG$4+Table24[[#This Row],[SHL_TAR_NDP]]*$AG$5)/$AG$18,0)</f>
        <v>6</v>
      </c>
      <c r="AH161" s="49">
        <f>ROUND($Q$8*(Table24[[#This Row],[SHL_TAR_IDPs]]*$AH$3+Table24[[#This Row],[SHL_TAR_HC]]*$AH$4+Table24[[#This Row],[SHL_TAR_NDP]]*$AH$5)/$AH$18,0)</f>
        <v>4</v>
      </c>
      <c r="AI161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  <c r="AK161" s="101">
        <v>2E-3</v>
      </c>
      <c r="AL161" s="102"/>
    </row>
    <row r="162" spans="1:38" x14ac:dyDescent="0.55000000000000004">
      <c r="A162" t="s">
        <v>453</v>
      </c>
      <c r="B162" t="s">
        <v>194</v>
      </c>
      <c r="C162" t="s">
        <v>384</v>
      </c>
      <c r="D162" s="58">
        <f>_xlfn.XLOOKUP($B162, 'Prioritization calculation'!D:D, 'Prioritization calculation'!X:X, "")</f>
        <v>4</v>
      </c>
      <c r="E162" s="58">
        <v>4</v>
      </c>
      <c r="F162" s="58">
        <v>4</v>
      </c>
      <c r="G162" s="58" t="s">
        <v>573</v>
      </c>
      <c r="H162" s="58">
        <v>22400</v>
      </c>
      <c r="I162" s="58">
        <v>18950</v>
      </c>
      <c r="J162" s="58">
        <v>0</v>
      </c>
      <c r="K162" s="58"/>
      <c r="L162" s="58">
        <v>0</v>
      </c>
      <c r="M162" s="58">
        <v>23367</v>
      </c>
      <c r="N162" s="58">
        <v>19171.740625881026</v>
      </c>
      <c r="O162" s="97">
        <f>SUM(Table24[[#This Row],[SHL_PIN_IDPs]:[SHL_PIN_NDP]])</f>
        <v>42849</v>
      </c>
      <c r="P162" s="98">
        <v>31709</v>
      </c>
      <c r="Q162" s="98">
        <v>8236</v>
      </c>
      <c r="R162" s="98">
        <v>2904</v>
      </c>
      <c r="S162" s="98">
        <f>ROUND(SUM(Table24[[#This Row],[SHL_TAR_IDPs]:[SHL_TAR_NDP]]),0)</f>
        <v>7950</v>
      </c>
      <c r="T162" s="48">
        <f>SUM(Table24[[#This Row],[HIDE IDP]:[HIDE NDP]])</f>
        <v>7950.1</v>
      </c>
      <c r="U162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6342</v>
      </c>
      <c r="V162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1317.6000000000001</v>
      </c>
      <c r="W162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290.5</v>
      </c>
      <c r="X162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6342</v>
      </c>
      <c r="Y162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1317.6000000000001</v>
      </c>
      <c r="Z162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290.5</v>
      </c>
      <c r="AA162" s="49">
        <f>ROUND($P$8*(Table24[[#This Row],[SHL_TAR_IDPs]]*$AA$3+Table24[[#This Row],[SHL_TAR_HC]]*$AA$4+Table24[[#This Row],[SHL_TAR_NDP]]*$AA$5)/$AA$18,0)</f>
        <v>676</v>
      </c>
      <c r="AB162" s="49">
        <f>ROUND($P$8*(Table24[[#This Row],[SHL_TAR_IDPs]]*$AB$3+Table24[[#This Row],[SHL_TAR_HC]]*$AB$4+Table24[[#This Row],[SHL_TAR_NDP]]*$AB$5)/$AB$18,0)</f>
        <v>676</v>
      </c>
      <c r="AC162" s="49">
        <f>ROUND($Q$8*(Table24[[#This Row],[SHL_TAR_IDPs]]*$AC$3+Table24[[#This Row],[SHL_TAR_HC]]*$AC$4+Table24[[#This Row],[SHL_TAR_NDP]]*$AC$5)/$AC$18,0)</f>
        <v>63</v>
      </c>
      <c r="AD162" s="49">
        <f>ROUND($Q$8*(Table24[[#This Row],[SHL_TAR_IDPs]]*$AD$3+Table24[[#This Row],[SHL_TAR_HC]]*$AD$4+Table24[[#This Row],[SHL_TAR_NDP]]*$AD$5)/$AD$18,0)</f>
        <v>63</v>
      </c>
      <c r="AE162" s="49">
        <f>ROUND($Q$8*(Table24[[#This Row],[SHL_TAR_IDPs]]*$AE$3+Table24[[#This Row],[SHL_TAR_HC]]*$AE$4+Table24[[#This Row],[SHL_TAR_NDP]]*$AE$5)/$AE$18,0)</f>
        <v>80</v>
      </c>
      <c r="AF162" s="49">
        <f>ROUND($Q$8*(Table24[[#This Row],[SHL_TAR_IDPs]]*$AF$3+Table24[[#This Row],[SHL_TAR_HC]]*$AF$4+Table24[[#This Row],[SHL_TAR_NDP]]*$AF$5)/$AF$18,0)</f>
        <v>159</v>
      </c>
      <c r="AG162" s="49">
        <f>ROUND($Q$8*(Table24[[#This Row],[SHL_TAR_IDPs]]*$AG$3+Table24[[#This Row],[SHL_TAR_HC]]*$AG$4+Table24[[#This Row],[SHL_TAR_NDP]]*$AG$5)/$AG$18,0)</f>
        <v>290</v>
      </c>
      <c r="AH162" s="49">
        <f>ROUND($Q$8*(Table24[[#This Row],[SHL_TAR_IDPs]]*$AH$3+Table24[[#This Row],[SHL_TAR_HC]]*$AH$4+Table24[[#This Row],[SHL_TAR_NDP]]*$AH$5)/$AH$18,0)</f>
        <v>140</v>
      </c>
      <c r="AI162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  <c r="AK162" s="101">
        <v>3.0000000000000001E-3</v>
      </c>
      <c r="AL162" s="102"/>
    </row>
    <row r="163" spans="1:38" x14ac:dyDescent="0.55000000000000004">
      <c r="A163" t="s">
        <v>453</v>
      </c>
      <c r="B163" t="s">
        <v>195</v>
      </c>
      <c r="C163" t="s">
        <v>385</v>
      </c>
      <c r="D163" s="58">
        <f>_xlfn.XLOOKUP($B163, 'Prioritization calculation'!D:D, 'Prioritization calculation'!X:X, "")</f>
        <v>4</v>
      </c>
      <c r="E163" s="58">
        <v>3</v>
      </c>
      <c r="F163" s="58">
        <v>5</v>
      </c>
      <c r="G163" s="58" t="s">
        <v>573</v>
      </c>
      <c r="H163" s="58">
        <v>6650</v>
      </c>
      <c r="I163" s="58">
        <v>0</v>
      </c>
      <c r="J163" s="58">
        <v>0</v>
      </c>
      <c r="K163" s="58"/>
      <c r="L163" s="58">
        <v>0</v>
      </c>
      <c r="M163" s="58">
        <v>0</v>
      </c>
      <c r="N163" s="58">
        <v>9619.7319758156518</v>
      </c>
      <c r="O163" s="97">
        <f>SUM(Table24[[#This Row],[SHL_PIN_IDPs]:[SHL_PIN_NDP]])</f>
        <v>9183</v>
      </c>
      <c r="P163" s="98">
        <v>9183</v>
      </c>
      <c r="Q163" s="98">
        <v>0</v>
      </c>
      <c r="R163" s="98">
        <v>0</v>
      </c>
      <c r="S163" s="98">
        <f>ROUND(SUM(Table24[[#This Row],[SHL_TAR_IDPs]:[SHL_TAR_NDP]]),0)</f>
        <v>0</v>
      </c>
      <c r="T163" s="48">
        <f>SUM(Table24[[#This Row],[HIDE IDP]:[HIDE NDP]])</f>
        <v>918</v>
      </c>
      <c r="U163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918</v>
      </c>
      <c r="V163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0</v>
      </c>
      <c r="W163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0</v>
      </c>
      <c r="X163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0</v>
      </c>
      <c r="Y163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0</v>
      </c>
      <c r="Z163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163" s="49">
        <f>ROUND($P$8*(Table24[[#This Row],[SHL_TAR_IDPs]]*$AA$3+Table24[[#This Row],[SHL_TAR_HC]]*$AA$4+Table24[[#This Row],[SHL_TAR_NDP]]*$AA$5)/$AA$18,0)</f>
        <v>0</v>
      </c>
      <c r="AB163" s="49">
        <f>ROUND($P$8*(Table24[[#This Row],[SHL_TAR_IDPs]]*$AB$3+Table24[[#This Row],[SHL_TAR_HC]]*$AB$4+Table24[[#This Row],[SHL_TAR_NDP]]*$AB$5)/$AB$18,0)</f>
        <v>0</v>
      </c>
      <c r="AC163" s="49">
        <f>ROUND($Q$8*(Table24[[#This Row],[SHL_TAR_IDPs]]*$AC$3+Table24[[#This Row],[SHL_TAR_HC]]*$AC$4+Table24[[#This Row],[SHL_TAR_NDP]]*$AC$5)/$AC$18,0)</f>
        <v>0</v>
      </c>
      <c r="AD163" s="49">
        <f>ROUND($Q$8*(Table24[[#This Row],[SHL_TAR_IDPs]]*$AD$3+Table24[[#This Row],[SHL_TAR_HC]]*$AD$4+Table24[[#This Row],[SHL_TAR_NDP]]*$AD$5)/$AD$18,0)</f>
        <v>0</v>
      </c>
      <c r="AE163" s="49">
        <f>ROUND($Q$8*(Table24[[#This Row],[SHL_TAR_IDPs]]*$AE$3+Table24[[#This Row],[SHL_TAR_HC]]*$AE$4+Table24[[#This Row],[SHL_TAR_NDP]]*$AE$5)/$AE$18,0)</f>
        <v>0</v>
      </c>
      <c r="AF163" s="49">
        <f>ROUND($Q$8*(Table24[[#This Row],[SHL_TAR_IDPs]]*$AF$3+Table24[[#This Row],[SHL_TAR_HC]]*$AF$4+Table24[[#This Row],[SHL_TAR_NDP]]*$AF$5)/$AF$18,0)</f>
        <v>0</v>
      </c>
      <c r="AG163" s="49">
        <f>ROUND($Q$8*(Table24[[#This Row],[SHL_TAR_IDPs]]*$AG$3+Table24[[#This Row],[SHL_TAR_HC]]*$AG$4+Table24[[#This Row],[SHL_TAR_NDP]]*$AG$5)/$AG$18,0)</f>
        <v>0</v>
      </c>
      <c r="AH163" s="49">
        <f>ROUND($Q$8*(Table24[[#This Row],[SHL_TAR_IDPs]]*$AH$3+Table24[[#This Row],[SHL_TAR_HC]]*$AH$4+Table24[[#This Row],[SHL_TAR_NDP]]*$AH$5)/$AH$18,0)</f>
        <v>0</v>
      </c>
      <c r="AI163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  <c r="AK163" s="101">
        <v>5.0000000000000001E-3</v>
      </c>
      <c r="AL163" s="102"/>
    </row>
    <row r="164" spans="1:38" x14ac:dyDescent="0.55000000000000004">
      <c r="A164" t="s">
        <v>453</v>
      </c>
      <c r="B164" t="s">
        <v>196</v>
      </c>
      <c r="C164" t="s">
        <v>386</v>
      </c>
      <c r="D164" s="58">
        <f>_xlfn.XLOOKUP($B164, 'Prioritization calculation'!D:D, 'Prioritization calculation'!X:X, "")</f>
        <v>5</v>
      </c>
      <c r="E164" s="58">
        <v>5</v>
      </c>
      <c r="F164" s="58">
        <v>5</v>
      </c>
      <c r="G164" s="58" t="s">
        <v>572</v>
      </c>
      <c r="H164" s="58">
        <v>215340</v>
      </c>
      <c r="I164" s="58">
        <v>32755</v>
      </c>
      <c r="J164" s="58">
        <v>300</v>
      </c>
      <c r="K164" s="58"/>
      <c r="L164" s="58">
        <v>5000</v>
      </c>
      <c r="M164" s="58">
        <v>89751</v>
      </c>
      <c r="N164" s="58">
        <v>43912.917171622139</v>
      </c>
      <c r="O164" s="97">
        <f>SUM(Table24[[#This Row],[SHL_PIN_IDPs]:[SHL_PIN_NDP]])</f>
        <v>177043</v>
      </c>
      <c r="P164" s="98">
        <v>103511</v>
      </c>
      <c r="Q164" s="98">
        <v>51756</v>
      </c>
      <c r="R164" s="98">
        <v>21776</v>
      </c>
      <c r="S164" s="98">
        <f>ROUND(SUM(Table24[[#This Row],[SHL_TAR_IDPs]:[SHL_TAR_NDP]]),0)</f>
        <v>31160</v>
      </c>
      <c r="T164" s="48">
        <f>SUM(Table24[[#This Row],[HIDE IDP]:[HIDE NDP]])</f>
        <v>31160.300000000003</v>
      </c>
      <c r="U164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20702</v>
      </c>
      <c r="V164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8280.8000000000011</v>
      </c>
      <c r="W164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2177.5</v>
      </c>
      <c r="X164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20702</v>
      </c>
      <c r="Y164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8280.8000000000011</v>
      </c>
      <c r="Z164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2177.5</v>
      </c>
      <c r="AA164" s="49">
        <f>ROUND($P$8*(Table24[[#This Row],[SHL_TAR_IDPs]]*$AA$3+Table24[[#This Row],[SHL_TAR_HC]]*$AA$4+Table24[[#This Row],[SHL_TAR_NDP]]*$AA$5)/$AA$18,0)</f>
        <v>2649</v>
      </c>
      <c r="AB164" s="49">
        <f>ROUND($P$8*(Table24[[#This Row],[SHL_TAR_IDPs]]*$AB$3+Table24[[#This Row],[SHL_TAR_HC]]*$AB$4+Table24[[#This Row],[SHL_TAR_NDP]]*$AB$5)/$AB$18,0)</f>
        <v>2649</v>
      </c>
      <c r="AC164" s="49">
        <f>ROUND($Q$8*(Table24[[#This Row],[SHL_TAR_IDPs]]*$AC$3+Table24[[#This Row],[SHL_TAR_HC]]*$AC$4+Table24[[#This Row],[SHL_TAR_NDP]]*$AC$5)/$AC$18,0)</f>
        <v>207</v>
      </c>
      <c r="AD164" s="49">
        <f>ROUND($Q$8*(Table24[[#This Row],[SHL_TAR_IDPs]]*$AD$3+Table24[[#This Row],[SHL_TAR_HC]]*$AD$4+Table24[[#This Row],[SHL_TAR_NDP]]*$AD$5)/$AD$18,0)</f>
        <v>207</v>
      </c>
      <c r="AE164" s="49">
        <f>ROUND($Q$8*(Table24[[#This Row],[SHL_TAR_IDPs]]*$AE$3+Table24[[#This Row],[SHL_TAR_HC]]*$AE$4+Table24[[#This Row],[SHL_TAR_NDP]]*$AE$5)/$AE$18,0)</f>
        <v>312</v>
      </c>
      <c r="AF164" s="49">
        <f>ROUND($Q$8*(Table24[[#This Row],[SHL_TAR_IDPs]]*$AF$3+Table24[[#This Row],[SHL_TAR_HC]]*$AF$4+Table24[[#This Row],[SHL_TAR_NDP]]*$AF$5)/$AF$18,0)</f>
        <v>623</v>
      </c>
      <c r="AG164" s="49">
        <f>ROUND($Q$8*(Table24[[#This Row],[SHL_TAR_IDPs]]*$AG$3+Table24[[#This Row],[SHL_TAR_HC]]*$AG$4+Table24[[#This Row],[SHL_TAR_NDP]]*$AG$5)/$AG$18,0)</f>
        <v>1270</v>
      </c>
      <c r="AH164" s="49">
        <f>ROUND($Q$8*(Table24[[#This Row],[SHL_TAR_IDPs]]*$AH$3+Table24[[#This Row],[SHL_TAR_HC]]*$AH$4+Table24[[#This Row],[SHL_TAR_NDP]]*$AH$5)/$AH$18,0)</f>
        <v>497</v>
      </c>
      <c r="AI164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  <c r="AK164" s="101">
        <v>5.2999999999999999E-2</v>
      </c>
      <c r="AL164" s="102"/>
    </row>
    <row r="165" spans="1:38" x14ac:dyDescent="0.55000000000000004">
      <c r="A165" t="s">
        <v>453</v>
      </c>
      <c r="B165" t="s">
        <v>197</v>
      </c>
      <c r="C165" t="s">
        <v>387</v>
      </c>
      <c r="D165" s="58">
        <f>_xlfn.XLOOKUP($B165, 'Prioritization calculation'!D:D, 'Prioritization calculation'!X:X, "")</f>
        <v>5</v>
      </c>
      <c r="E165" s="58">
        <v>4</v>
      </c>
      <c r="F165" s="58">
        <v>4</v>
      </c>
      <c r="G165" s="58" t="s">
        <v>572</v>
      </c>
      <c r="H165" s="58">
        <v>0</v>
      </c>
      <c r="I165" s="58">
        <v>36380</v>
      </c>
      <c r="J165" s="58">
        <v>10500</v>
      </c>
      <c r="K165" s="58"/>
      <c r="L165" s="58">
        <v>15325</v>
      </c>
      <c r="M165" s="58">
        <v>201387</v>
      </c>
      <c r="N165" s="58">
        <v>152713.92499999999</v>
      </c>
      <c r="O165" s="97">
        <f>SUM(Table24[[#This Row],[SHL_PIN_IDPs]:[SHL_PIN_NDP]])</f>
        <v>273907</v>
      </c>
      <c r="P165" s="98">
        <v>183257</v>
      </c>
      <c r="Q165" s="98">
        <v>90650</v>
      </c>
      <c r="R165" s="98">
        <v>0</v>
      </c>
      <c r="S165" s="98">
        <f>ROUND(SUM(Table24[[#This Row],[SHL_TAR_IDPs]:[SHL_TAR_NDP]]),0)</f>
        <v>25578</v>
      </c>
      <c r="T165" s="48">
        <f>SUM(Table24[[#This Row],[HIDE IDP]:[HIDE NDP]])</f>
        <v>25578</v>
      </c>
      <c r="U165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18326</v>
      </c>
      <c r="V165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7252</v>
      </c>
      <c r="W165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0</v>
      </c>
      <c r="X165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18326</v>
      </c>
      <c r="Y165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7252</v>
      </c>
      <c r="Z165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165" s="49">
        <f>ROUND($P$8*(Table24[[#This Row],[SHL_TAR_IDPs]]*$AA$3+Table24[[#This Row],[SHL_TAR_HC]]*$AA$4+Table24[[#This Row],[SHL_TAR_NDP]]*$AA$5)/$AA$18,0)</f>
        <v>2174</v>
      </c>
      <c r="AB165" s="49">
        <f>ROUND($P$8*(Table24[[#This Row],[SHL_TAR_IDPs]]*$AB$3+Table24[[#This Row],[SHL_TAR_HC]]*$AB$4+Table24[[#This Row],[SHL_TAR_NDP]]*$AB$5)/$AB$18,0)</f>
        <v>2174</v>
      </c>
      <c r="AC165" s="49">
        <f>ROUND($Q$8*(Table24[[#This Row],[SHL_TAR_IDPs]]*$AC$3+Table24[[#This Row],[SHL_TAR_HC]]*$AC$4+Table24[[#This Row],[SHL_TAR_NDP]]*$AC$5)/$AC$18,0)</f>
        <v>183</v>
      </c>
      <c r="AD165" s="49">
        <f>ROUND($Q$8*(Table24[[#This Row],[SHL_TAR_IDPs]]*$AD$3+Table24[[#This Row],[SHL_TAR_HC]]*$AD$4+Table24[[#This Row],[SHL_TAR_NDP]]*$AD$5)/$AD$18,0)</f>
        <v>183</v>
      </c>
      <c r="AE165" s="49">
        <f>ROUND($Q$8*(Table24[[#This Row],[SHL_TAR_IDPs]]*$AE$3+Table24[[#This Row],[SHL_TAR_HC]]*$AE$4+Table24[[#This Row],[SHL_TAR_NDP]]*$AE$5)/$AE$18,0)</f>
        <v>256</v>
      </c>
      <c r="AF165" s="49">
        <f>ROUND($Q$8*(Table24[[#This Row],[SHL_TAR_IDPs]]*$AF$3+Table24[[#This Row],[SHL_TAR_HC]]*$AF$4+Table24[[#This Row],[SHL_TAR_NDP]]*$AF$5)/$AF$18,0)</f>
        <v>512</v>
      </c>
      <c r="AG165" s="49">
        <f>ROUND($Q$8*(Table24[[#This Row],[SHL_TAR_IDPs]]*$AG$3+Table24[[#This Row],[SHL_TAR_HC]]*$AG$4+Table24[[#This Row],[SHL_TAR_NDP]]*$AG$5)/$AG$18,0)</f>
        <v>985</v>
      </c>
      <c r="AH165" s="49">
        <f>ROUND($Q$8*(Table24[[#This Row],[SHL_TAR_IDPs]]*$AH$3+Table24[[#This Row],[SHL_TAR_HC]]*$AH$4+Table24[[#This Row],[SHL_TAR_NDP]]*$AH$5)/$AH$18,0)</f>
        <v>439</v>
      </c>
      <c r="AI165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  <c r="AK165" s="101">
        <v>2.3E-2</v>
      </c>
      <c r="AL165" s="102"/>
    </row>
    <row r="166" spans="1:38" x14ac:dyDescent="0.55000000000000004">
      <c r="A166" t="s">
        <v>453</v>
      </c>
      <c r="B166" t="s">
        <v>198</v>
      </c>
      <c r="C166" t="s">
        <v>388</v>
      </c>
      <c r="D166" s="58">
        <f>_xlfn.XLOOKUP($B166, 'Prioritization calculation'!D:D, 'Prioritization calculation'!X:X, "")</f>
        <v>4</v>
      </c>
      <c r="E166" s="58">
        <v>3</v>
      </c>
      <c r="F166" s="58">
        <v>4</v>
      </c>
      <c r="G166" s="58" t="s">
        <v>573</v>
      </c>
      <c r="H166" s="58">
        <v>3250</v>
      </c>
      <c r="I166" s="58">
        <v>0</v>
      </c>
      <c r="J166" s="58">
        <v>0</v>
      </c>
      <c r="K166" s="58"/>
      <c r="L166" s="58">
        <v>0</v>
      </c>
      <c r="M166" s="58">
        <v>4807</v>
      </c>
      <c r="N166" s="58">
        <v>1696.4566929133857</v>
      </c>
      <c r="O166" s="97">
        <f>SUM(Table24[[#This Row],[SHL_PIN_IDPs]:[SHL_PIN_NDP]])</f>
        <v>23158</v>
      </c>
      <c r="P166" s="98">
        <v>0</v>
      </c>
      <c r="Q166" s="98">
        <v>0</v>
      </c>
      <c r="R166" s="98">
        <v>23158</v>
      </c>
      <c r="S166" s="98">
        <f>ROUND(SUM(Table24[[#This Row],[SHL_TAR_IDPs]:[SHL_TAR_NDP]]),0)</f>
        <v>0</v>
      </c>
      <c r="T166" s="48">
        <f>SUM(Table24[[#This Row],[HIDE IDP]:[HIDE NDP]])</f>
        <v>1158</v>
      </c>
      <c r="U166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0</v>
      </c>
      <c r="V166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0</v>
      </c>
      <c r="W166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1158</v>
      </c>
      <c r="X166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0</v>
      </c>
      <c r="Y166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0</v>
      </c>
      <c r="Z166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166" s="49">
        <f>ROUND($P$8*(Table24[[#This Row],[SHL_TAR_IDPs]]*$AA$3+Table24[[#This Row],[SHL_TAR_HC]]*$AA$4+Table24[[#This Row],[SHL_TAR_NDP]]*$AA$5)/$AA$18,0)</f>
        <v>0</v>
      </c>
      <c r="AB166" s="49">
        <f>ROUND($P$8*(Table24[[#This Row],[SHL_TAR_IDPs]]*$AB$3+Table24[[#This Row],[SHL_TAR_HC]]*$AB$4+Table24[[#This Row],[SHL_TAR_NDP]]*$AB$5)/$AB$18,0)</f>
        <v>0</v>
      </c>
      <c r="AC166" s="49">
        <f>ROUND($Q$8*(Table24[[#This Row],[SHL_TAR_IDPs]]*$AC$3+Table24[[#This Row],[SHL_TAR_HC]]*$AC$4+Table24[[#This Row],[SHL_TAR_NDP]]*$AC$5)/$AC$18,0)</f>
        <v>0</v>
      </c>
      <c r="AD166" s="49">
        <f>ROUND($Q$8*(Table24[[#This Row],[SHL_TAR_IDPs]]*$AD$3+Table24[[#This Row],[SHL_TAR_HC]]*$AD$4+Table24[[#This Row],[SHL_TAR_NDP]]*$AD$5)/$AD$18,0)</f>
        <v>0</v>
      </c>
      <c r="AE166" s="49">
        <f>ROUND($Q$8*(Table24[[#This Row],[SHL_TAR_IDPs]]*$AE$3+Table24[[#This Row],[SHL_TAR_HC]]*$AE$4+Table24[[#This Row],[SHL_TAR_NDP]]*$AE$5)/$AE$18,0)</f>
        <v>0</v>
      </c>
      <c r="AF166" s="49">
        <f>ROUND($Q$8*(Table24[[#This Row],[SHL_TAR_IDPs]]*$AF$3+Table24[[#This Row],[SHL_TAR_HC]]*$AF$4+Table24[[#This Row],[SHL_TAR_NDP]]*$AF$5)/$AF$18,0)</f>
        <v>0</v>
      </c>
      <c r="AG166" s="49">
        <f>ROUND($Q$8*(Table24[[#This Row],[SHL_TAR_IDPs]]*$AG$3+Table24[[#This Row],[SHL_TAR_HC]]*$AG$4+Table24[[#This Row],[SHL_TAR_NDP]]*$AG$5)/$AG$18,0)</f>
        <v>0</v>
      </c>
      <c r="AH166" s="49">
        <f>ROUND($Q$8*(Table24[[#This Row],[SHL_TAR_IDPs]]*$AH$3+Table24[[#This Row],[SHL_TAR_HC]]*$AH$4+Table24[[#This Row],[SHL_TAR_NDP]]*$AH$5)/$AH$18,0)</f>
        <v>0</v>
      </c>
      <c r="AI166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  <c r="AK166" s="101">
        <v>7.2999999999999995E-2</v>
      </c>
      <c r="AL166" s="102"/>
    </row>
    <row r="167" spans="1:38" x14ac:dyDescent="0.55000000000000004">
      <c r="A167" t="s">
        <v>453</v>
      </c>
      <c r="B167" t="s">
        <v>199</v>
      </c>
      <c r="C167" t="s">
        <v>389</v>
      </c>
      <c r="D167" s="58">
        <f>_xlfn.XLOOKUP($B167, 'Prioritization calculation'!D:D, 'Prioritization calculation'!X:X, "")</f>
        <v>4</v>
      </c>
      <c r="E167" s="58">
        <v>3</v>
      </c>
      <c r="F167" s="58">
        <v>3</v>
      </c>
      <c r="G167" s="58" t="s">
        <v>573</v>
      </c>
      <c r="H167" s="98">
        <v>22820</v>
      </c>
      <c r="I167" s="98">
        <v>10000</v>
      </c>
      <c r="J167" s="58">
        <v>0</v>
      </c>
      <c r="K167" s="58"/>
      <c r="L167" s="58">
        <v>0</v>
      </c>
      <c r="M167" s="58">
        <v>1945</v>
      </c>
      <c r="N167" s="58">
        <v>1637.5925925925926</v>
      </c>
      <c r="O167" s="97">
        <f>SUM(Table24[[#This Row],[SHL_PIN_IDPs]:[SHL_PIN_NDP]])</f>
        <v>3606</v>
      </c>
      <c r="P167" s="98">
        <v>1530</v>
      </c>
      <c r="Q167" s="98">
        <v>765</v>
      </c>
      <c r="R167" s="98">
        <v>1311</v>
      </c>
      <c r="S167" s="98">
        <f>ROUND(SUM(Table24[[#This Row],[SHL_TAR_IDPs]:[SHL_TAR_NDP]]),0)</f>
        <v>280</v>
      </c>
      <c r="T167" s="48">
        <f>SUM(Table24[[#This Row],[HIDE IDP]:[HIDE NDP]])</f>
        <v>280.10000000000002</v>
      </c>
      <c r="U167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153</v>
      </c>
      <c r="V167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61.6</v>
      </c>
      <c r="W167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65.5</v>
      </c>
      <c r="X167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153</v>
      </c>
      <c r="Y167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61.6</v>
      </c>
      <c r="Z167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65.5</v>
      </c>
      <c r="AA167" s="49">
        <f>ROUND($P$8*(Table24[[#This Row],[SHL_TAR_IDPs]]*$AA$3+Table24[[#This Row],[SHL_TAR_HC]]*$AA$4+Table24[[#This Row],[SHL_TAR_NDP]]*$AA$5)/$AA$18,0)</f>
        <v>24</v>
      </c>
      <c r="AB167" s="49">
        <f>ROUND($P$8*(Table24[[#This Row],[SHL_TAR_IDPs]]*$AB$3+Table24[[#This Row],[SHL_TAR_HC]]*$AB$4+Table24[[#This Row],[SHL_TAR_NDP]]*$AB$5)/$AB$18,0)</f>
        <v>24</v>
      </c>
      <c r="AC167" s="49">
        <f>ROUND($Q$8*(Table24[[#This Row],[SHL_TAR_IDPs]]*$AC$3+Table24[[#This Row],[SHL_TAR_HC]]*$AC$4+Table24[[#This Row],[SHL_TAR_NDP]]*$AC$5)/$AC$18,0)</f>
        <v>2</v>
      </c>
      <c r="AD167" s="49">
        <f>ROUND($Q$8*(Table24[[#This Row],[SHL_TAR_IDPs]]*$AD$3+Table24[[#This Row],[SHL_TAR_HC]]*$AD$4+Table24[[#This Row],[SHL_TAR_NDP]]*$AD$5)/$AD$18,0)</f>
        <v>2</v>
      </c>
      <c r="AE167" s="49">
        <f>ROUND($Q$8*(Table24[[#This Row],[SHL_TAR_IDPs]]*$AE$3+Table24[[#This Row],[SHL_TAR_HC]]*$AE$4+Table24[[#This Row],[SHL_TAR_NDP]]*$AE$5)/$AE$18,0)</f>
        <v>3</v>
      </c>
      <c r="AF167" s="49">
        <f>ROUND($Q$8*(Table24[[#This Row],[SHL_TAR_IDPs]]*$AF$3+Table24[[#This Row],[SHL_TAR_HC]]*$AF$4+Table24[[#This Row],[SHL_TAR_NDP]]*$AF$5)/$AF$18,0)</f>
        <v>6</v>
      </c>
      <c r="AG167" s="49">
        <f>ROUND($Q$8*(Table24[[#This Row],[SHL_TAR_IDPs]]*$AG$3+Table24[[#This Row],[SHL_TAR_HC]]*$AG$4+Table24[[#This Row],[SHL_TAR_NDP]]*$AG$5)/$AG$18,0)</f>
        <v>13</v>
      </c>
      <c r="AH167" s="49">
        <f>ROUND($Q$8*(Table24[[#This Row],[SHL_TAR_IDPs]]*$AH$3+Table24[[#This Row],[SHL_TAR_HC]]*$AH$4+Table24[[#This Row],[SHL_TAR_NDP]]*$AH$5)/$AH$18,0)</f>
        <v>4</v>
      </c>
      <c r="AI167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  <c r="AK167" s="101">
        <v>1.4999999999999999E-2</v>
      </c>
      <c r="AL167" s="102"/>
    </row>
    <row r="168" spans="1:38" x14ac:dyDescent="0.55000000000000004">
      <c r="A168" t="s">
        <v>453</v>
      </c>
      <c r="B168" t="s">
        <v>200</v>
      </c>
      <c r="C168" t="s">
        <v>390</v>
      </c>
      <c r="D168" s="58">
        <f>_xlfn.XLOOKUP($B168, 'Prioritization calculation'!D:D, 'Prioritization calculation'!X:X, "")</f>
        <v>3</v>
      </c>
      <c r="E168" s="58">
        <v>2</v>
      </c>
      <c r="F168" s="58">
        <v>3</v>
      </c>
      <c r="G168" s="58" t="s">
        <v>573</v>
      </c>
      <c r="H168" s="58">
        <v>0</v>
      </c>
      <c r="I168" s="58">
        <v>0</v>
      </c>
      <c r="J168" s="58">
        <v>0</v>
      </c>
      <c r="K168" s="58"/>
      <c r="L168" s="58">
        <v>0</v>
      </c>
      <c r="M168" s="58">
        <v>0</v>
      </c>
      <c r="N168" s="58">
        <v>0</v>
      </c>
      <c r="O168" s="97">
        <f>SUM(Table24[[#This Row],[SHL_PIN_IDPs]:[SHL_PIN_NDP]])</f>
        <v>0</v>
      </c>
      <c r="P168" s="98">
        <v>0</v>
      </c>
      <c r="Q168" s="98">
        <v>0</v>
      </c>
      <c r="R168" s="98">
        <v>0</v>
      </c>
      <c r="S168" s="98">
        <f>ROUND(SUM(Table24[[#This Row],[SHL_TAR_IDPs]:[SHL_TAR_NDP]]),0)</f>
        <v>0</v>
      </c>
      <c r="T168" s="48">
        <f>SUM(Table24[[#This Row],[HIDE IDP]:[HIDE NDP]])</f>
        <v>0</v>
      </c>
      <c r="U168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0</v>
      </c>
      <c r="V168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0</v>
      </c>
      <c r="W168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0</v>
      </c>
      <c r="X168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0</v>
      </c>
      <c r="Y168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0</v>
      </c>
      <c r="Z168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168" s="49">
        <f>ROUND($P$8*(Table24[[#This Row],[SHL_TAR_IDPs]]*$AA$3+Table24[[#This Row],[SHL_TAR_HC]]*$AA$4+Table24[[#This Row],[SHL_TAR_NDP]]*$AA$5)/$AA$18,0)</f>
        <v>0</v>
      </c>
      <c r="AB168" s="49">
        <f>ROUND($P$8*(Table24[[#This Row],[SHL_TAR_IDPs]]*$AB$3+Table24[[#This Row],[SHL_TAR_HC]]*$AB$4+Table24[[#This Row],[SHL_TAR_NDP]]*$AB$5)/$AB$18,0)</f>
        <v>0</v>
      </c>
      <c r="AC168" s="49">
        <f>ROUND($Q$8*(Table24[[#This Row],[SHL_TAR_IDPs]]*$AC$3+Table24[[#This Row],[SHL_TAR_HC]]*$AC$4+Table24[[#This Row],[SHL_TAR_NDP]]*$AC$5)/$AC$18,0)</f>
        <v>0</v>
      </c>
      <c r="AD168" s="49">
        <f>ROUND($Q$8*(Table24[[#This Row],[SHL_TAR_IDPs]]*$AD$3+Table24[[#This Row],[SHL_TAR_HC]]*$AD$4+Table24[[#This Row],[SHL_TAR_NDP]]*$AD$5)/$AD$18,0)</f>
        <v>0</v>
      </c>
      <c r="AE168" s="49">
        <f>ROUND($Q$8*(Table24[[#This Row],[SHL_TAR_IDPs]]*$AE$3+Table24[[#This Row],[SHL_TAR_HC]]*$AE$4+Table24[[#This Row],[SHL_TAR_NDP]]*$AE$5)/$AE$18,0)</f>
        <v>0</v>
      </c>
      <c r="AF168" s="49">
        <f>ROUND($Q$8*(Table24[[#This Row],[SHL_TAR_IDPs]]*$AF$3+Table24[[#This Row],[SHL_TAR_HC]]*$AF$4+Table24[[#This Row],[SHL_TAR_NDP]]*$AF$5)/$AF$18,0)</f>
        <v>0</v>
      </c>
      <c r="AG168" s="49">
        <f>ROUND($Q$8*(Table24[[#This Row],[SHL_TAR_IDPs]]*$AG$3+Table24[[#This Row],[SHL_TAR_HC]]*$AG$4+Table24[[#This Row],[SHL_TAR_NDP]]*$AG$5)/$AG$18,0)</f>
        <v>0</v>
      </c>
      <c r="AH168" s="49">
        <f>ROUND($Q$8*(Table24[[#This Row],[SHL_TAR_IDPs]]*$AH$3+Table24[[#This Row],[SHL_TAR_HC]]*$AH$4+Table24[[#This Row],[SHL_TAR_NDP]]*$AH$5)/$AH$18,0)</f>
        <v>0</v>
      </c>
      <c r="AI168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  <c r="AK168" s="101">
        <v>5.3999999999999999E-2</v>
      </c>
      <c r="AL168" s="102"/>
    </row>
    <row r="169" spans="1:38" x14ac:dyDescent="0.55000000000000004">
      <c r="A169" t="s">
        <v>453</v>
      </c>
      <c r="B169" t="s">
        <v>201</v>
      </c>
      <c r="C169" t="s">
        <v>391</v>
      </c>
      <c r="D169" s="58">
        <f>_xlfn.XLOOKUP($B169, 'Prioritization calculation'!D:D, 'Prioritization calculation'!X:X, "")</f>
        <v>4</v>
      </c>
      <c r="E169" s="58">
        <v>3</v>
      </c>
      <c r="F169" s="58">
        <v>3</v>
      </c>
      <c r="G169" s="58" t="s">
        <v>573</v>
      </c>
      <c r="H169" s="58">
        <v>17625</v>
      </c>
      <c r="I169" s="58">
        <v>1370</v>
      </c>
      <c r="J169" s="58">
        <v>0</v>
      </c>
      <c r="K169" s="58"/>
      <c r="L169" s="58">
        <v>0</v>
      </c>
      <c r="M169" s="58">
        <v>4597</v>
      </c>
      <c r="N169" s="58">
        <v>400.88372093023258</v>
      </c>
      <c r="O169" s="97">
        <f>SUM(Table24[[#This Row],[SHL_PIN_IDPs]:[SHL_PIN_NDP]])</f>
        <v>29265</v>
      </c>
      <c r="P169" s="98">
        <v>0</v>
      </c>
      <c r="Q169" s="98">
        <v>751</v>
      </c>
      <c r="R169" s="98">
        <v>28514</v>
      </c>
      <c r="S169" s="98">
        <f>ROUND(SUM(Table24[[#This Row],[SHL_TAR_IDPs]:[SHL_TAR_NDP]]),0)</f>
        <v>0</v>
      </c>
      <c r="T169" s="48">
        <f>SUM(Table24[[#This Row],[HIDE IDP]:[HIDE NDP]])</f>
        <v>1485.5</v>
      </c>
      <c r="U169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0</v>
      </c>
      <c r="V169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60</v>
      </c>
      <c r="W169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1425.5</v>
      </c>
      <c r="X169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0</v>
      </c>
      <c r="Y169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0</v>
      </c>
      <c r="Z169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169" s="49">
        <f>ROUND($P$8*(Table24[[#This Row],[SHL_TAR_IDPs]]*$AA$3+Table24[[#This Row],[SHL_TAR_HC]]*$AA$4+Table24[[#This Row],[SHL_TAR_NDP]]*$AA$5)/$AA$18,0)</f>
        <v>0</v>
      </c>
      <c r="AB169" s="49">
        <f>ROUND($P$8*(Table24[[#This Row],[SHL_TAR_IDPs]]*$AB$3+Table24[[#This Row],[SHL_TAR_HC]]*$AB$4+Table24[[#This Row],[SHL_TAR_NDP]]*$AB$5)/$AB$18,0)</f>
        <v>0</v>
      </c>
      <c r="AC169" s="49">
        <f>ROUND($Q$8*(Table24[[#This Row],[SHL_TAR_IDPs]]*$AC$3+Table24[[#This Row],[SHL_TAR_HC]]*$AC$4+Table24[[#This Row],[SHL_TAR_NDP]]*$AC$5)/$AC$18,0)</f>
        <v>0</v>
      </c>
      <c r="AD169" s="49">
        <f>ROUND($Q$8*(Table24[[#This Row],[SHL_TAR_IDPs]]*$AD$3+Table24[[#This Row],[SHL_TAR_HC]]*$AD$4+Table24[[#This Row],[SHL_TAR_NDP]]*$AD$5)/$AD$18,0)</f>
        <v>0</v>
      </c>
      <c r="AE169" s="49">
        <f>ROUND($Q$8*(Table24[[#This Row],[SHL_TAR_IDPs]]*$AE$3+Table24[[#This Row],[SHL_TAR_HC]]*$AE$4+Table24[[#This Row],[SHL_TAR_NDP]]*$AE$5)/$AE$18,0)</f>
        <v>0</v>
      </c>
      <c r="AF169" s="49">
        <f>ROUND($Q$8*(Table24[[#This Row],[SHL_TAR_IDPs]]*$AF$3+Table24[[#This Row],[SHL_TAR_HC]]*$AF$4+Table24[[#This Row],[SHL_TAR_NDP]]*$AF$5)/$AF$18,0)</f>
        <v>0</v>
      </c>
      <c r="AG169" s="49">
        <f>ROUND($Q$8*(Table24[[#This Row],[SHL_TAR_IDPs]]*$AG$3+Table24[[#This Row],[SHL_TAR_HC]]*$AG$4+Table24[[#This Row],[SHL_TAR_NDP]]*$AG$5)/$AG$18,0)</f>
        <v>0</v>
      </c>
      <c r="AH169" s="49">
        <f>ROUND($Q$8*(Table24[[#This Row],[SHL_TAR_IDPs]]*$AH$3+Table24[[#This Row],[SHL_TAR_HC]]*$AH$4+Table24[[#This Row],[SHL_TAR_NDP]]*$AH$5)/$AH$18,0)</f>
        <v>0</v>
      </c>
      <c r="AI169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  <c r="AK169" s="101">
        <v>0</v>
      </c>
      <c r="AL169" s="102"/>
    </row>
    <row r="170" spans="1:38" x14ac:dyDescent="0.55000000000000004">
      <c r="A170" t="s">
        <v>453</v>
      </c>
      <c r="B170" t="s">
        <v>202</v>
      </c>
      <c r="C170" t="s">
        <v>392</v>
      </c>
      <c r="D170" s="58">
        <f>_xlfn.XLOOKUP($B170, 'Prioritization calculation'!D:D, 'Prioritization calculation'!X:X, "")</f>
        <v>4</v>
      </c>
      <c r="E170" s="58">
        <v>3</v>
      </c>
      <c r="F170" s="58">
        <v>4</v>
      </c>
      <c r="G170" s="58" t="s">
        <v>573</v>
      </c>
      <c r="H170" s="58">
        <v>2725</v>
      </c>
      <c r="I170" s="98">
        <v>13420</v>
      </c>
      <c r="J170" s="58">
        <v>0</v>
      </c>
      <c r="K170" s="58"/>
      <c r="L170" s="58">
        <v>0</v>
      </c>
      <c r="M170" s="58">
        <v>1110</v>
      </c>
      <c r="N170" s="58">
        <v>347.85622317596562</v>
      </c>
      <c r="O170" s="97">
        <f>SUM(Table24[[#This Row],[SHL_PIN_IDPs]:[SHL_PIN_NDP]])</f>
        <v>7376</v>
      </c>
      <c r="P170" s="98">
        <v>375</v>
      </c>
      <c r="Q170" s="98">
        <v>1003</v>
      </c>
      <c r="R170" s="98">
        <v>5998</v>
      </c>
      <c r="S170" s="98">
        <f>ROUND(SUM(Table24[[#This Row],[SHL_TAR_IDPs]:[SHL_TAR_NDP]]),0)</f>
        <v>418</v>
      </c>
      <c r="T170" s="48">
        <f>SUM(Table24[[#This Row],[HIDE IDP]:[HIDE NDP]])</f>
        <v>418</v>
      </c>
      <c r="U170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38</v>
      </c>
      <c r="V170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80</v>
      </c>
      <c r="W170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300</v>
      </c>
      <c r="X170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38</v>
      </c>
      <c r="Y170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80</v>
      </c>
      <c r="Z170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300</v>
      </c>
      <c r="AA170" s="49">
        <f>ROUND($P$8*(Table24[[#This Row],[SHL_TAR_IDPs]]*$AA$3+Table24[[#This Row],[SHL_TAR_HC]]*$AA$4+Table24[[#This Row],[SHL_TAR_NDP]]*$AA$5)/$AA$18,0)</f>
        <v>36</v>
      </c>
      <c r="AB170" s="49">
        <f>ROUND($P$8*(Table24[[#This Row],[SHL_TAR_IDPs]]*$AB$3+Table24[[#This Row],[SHL_TAR_HC]]*$AB$4+Table24[[#This Row],[SHL_TAR_NDP]]*$AB$5)/$AB$18,0)</f>
        <v>36</v>
      </c>
      <c r="AC170" s="49">
        <f>ROUND($Q$8*(Table24[[#This Row],[SHL_TAR_IDPs]]*$AC$3+Table24[[#This Row],[SHL_TAR_HC]]*$AC$4+Table24[[#This Row],[SHL_TAR_NDP]]*$AC$5)/$AC$18,0)</f>
        <v>0</v>
      </c>
      <c r="AD170" s="49">
        <f>ROUND($Q$8*(Table24[[#This Row],[SHL_TAR_IDPs]]*$AD$3+Table24[[#This Row],[SHL_TAR_HC]]*$AD$4+Table24[[#This Row],[SHL_TAR_NDP]]*$AD$5)/$AD$18,0)</f>
        <v>0</v>
      </c>
      <c r="AE170" s="49">
        <f>ROUND($Q$8*(Table24[[#This Row],[SHL_TAR_IDPs]]*$AE$3+Table24[[#This Row],[SHL_TAR_HC]]*$AE$4+Table24[[#This Row],[SHL_TAR_NDP]]*$AE$5)/$AE$18,0)</f>
        <v>4</v>
      </c>
      <c r="AF170" s="49">
        <f>ROUND($Q$8*(Table24[[#This Row],[SHL_TAR_IDPs]]*$AF$3+Table24[[#This Row],[SHL_TAR_HC]]*$AF$4+Table24[[#This Row],[SHL_TAR_NDP]]*$AF$5)/$AF$18,0)</f>
        <v>8</v>
      </c>
      <c r="AG170" s="49">
        <f>ROUND($Q$8*(Table24[[#This Row],[SHL_TAR_IDPs]]*$AG$3+Table24[[#This Row],[SHL_TAR_HC]]*$AG$4+Table24[[#This Row],[SHL_TAR_NDP]]*$AG$5)/$AG$18,0)</f>
        <v>27</v>
      </c>
      <c r="AH170" s="49">
        <f>ROUND($Q$8*(Table24[[#This Row],[SHL_TAR_IDPs]]*$AH$3+Table24[[#This Row],[SHL_TAR_HC]]*$AH$4+Table24[[#This Row],[SHL_TAR_NDP]]*$AH$5)/$AH$18,0)</f>
        <v>2</v>
      </c>
      <c r="AI170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  <c r="AK170" s="101">
        <v>0</v>
      </c>
      <c r="AL170" s="102"/>
    </row>
    <row r="171" spans="1:38" x14ac:dyDescent="0.55000000000000004">
      <c r="A171" t="s">
        <v>454</v>
      </c>
      <c r="B171" t="s">
        <v>203</v>
      </c>
      <c r="C171" t="s">
        <v>393</v>
      </c>
      <c r="D171" s="58">
        <f>_xlfn.XLOOKUP($B171, 'Prioritization calculation'!D:D, 'Prioritization calculation'!X:X, "")</f>
        <v>3</v>
      </c>
      <c r="E171" s="58">
        <v>3</v>
      </c>
      <c r="F171" s="58">
        <v>4</v>
      </c>
      <c r="G171" s="58" t="s">
        <v>521</v>
      </c>
      <c r="H171" s="58">
        <v>16869</v>
      </c>
      <c r="I171" s="58">
        <v>0</v>
      </c>
      <c r="J171" s="58">
        <v>0</v>
      </c>
      <c r="K171" s="58"/>
      <c r="L171" s="58">
        <v>0</v>
      </c>
      <c r="M171" s="58">
        <v>17085</v>
      </c>
      <c r="N171" s="58">
        <v>1513.9671063616629</v>
      </c>
      <c r="O171" s="97">
        <f>SUM(Table24[[#This Row],[SHL_PIN_IDPs]:[SHL_PIN_NDP]])</f>
        <v>19928</v>
      </c>
      <c r="P171" s="98">
        <v>13285</v>
      </c>
      <c r="Q171" s="98">
        <v>6643</v>
      </c>
      <c r="R171" s="98">
        <v>0</v>
      </c>
      <c r="S171" s="98">
        <f>ROUND(SUM(Table24[[#This Row],[SHL_TAR_IDPs]:[SHL_TAR_NDP]]),0)</f>
        <v>11400</v>
      </c>
      <c r="T171" s="100">
        <f>SUM(Table24[[#This Row],[HIDE IDP]:[HIDE NDP]])</f>
        <v>3720.2</v>
      </c>
      <c r="U171" s="100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2657</v>
      </c>
      <c r="V171" s="100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1063.2</v>
      </c>
      <c r="W171" s="100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0</v>
      </c>
      <c r="X171" s="98">
        <v>7400</v>
      </c>
      <c r="Y171" s="98">
        <v>4000</v>
      </c>
      <c r="Z171" s="9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171" s="49">
        <f>ROUND($P$8*(Table24[[#This Row],[SHL_TAR_IDPs]]*$AA$3+Table24[[#This Row],[SHL_TAR_HC]]*$AA$4+Table24[[#This Row],[SHL_TAR_NDP]]*$AA$5)/$AA$18,0)</f>
        <v>969</v>
      </c>
      <c r="AB171" s="49">
        <f>ROUND($P$8*(Table24[[#This Row],[SHL_TAR_IDPs]]*$AB$3+Table24[[#This Row],[SHL_TAR_HC]]*$AB$4+Table24[[#This Row],[SHL_TAR_NDP]]*$AB$5)/$AB$18,0)</f>
        <v>969</v>
      </c>
      <c r="AC171" s="49">
        <f>ROUND($Q$8*(Table24[[#This Row],[SHL_TAR_IDPs]]*$AC$3+Table24[[#This Row],[SHL_TAR_HC]]*$AC$4+Table24[[#This Row],[SHL_TAR_NDP]]*$AC$5)/$AC$18,0)</f>
        <v>74</v>
      </c>
      <c r="AD171" s="49">
        <f>ROUND($Q$8*(Table24[[#This Row],[SHL_TAR_IDPs]]*$AD$3+Table24[[#This Row],[SHL_TAR_HC]]*$AD$4+Table24[[#This Row],[SHL_TAR_NDP]]*$AD$5)/$AD$18,0)</f>
        <v>74</v>
      </c>
      <c r="AE171" s="49">
        <f>ROUND($Q$8*(Table24[[#This Row],[SHL_TAR_IDPs]]*$AE$3+Table24[[#This Row],[SHL_TAR_HC]]*$AE$4+Table24[[#This Row],[SHL_TAR_NDP]]*$AE$5)/$AE$18,0)</f>
        <v>114</v>
      </c>
      <c r="AF171" s="49">
        <f>ROUND($Q$8*(Table24[[#This Row],[SHL_TAR_IDPs]]*$AF$3+Table24[[#This Row],[SHL_TAR_HC]]*$AF$4+Table24[[#This Row],[SHL_TAR_NDP]]*$AF$5)/$AF$18,0)</f>
        <v>228</v>
      </c>
      <c r="AG171" s="49">
        <f>ROUND($Q$8*(Table24[[#This Row],[SHL_TAR_IDPs]]*$AG$3+Table24[[#This Row],[SHL_TAR_HC]]*$AG$4+Table24[[#This Row],[SHL_TAR_NDP]]*$AG$5)/$AG$18,0)</f>
        <v>462</v>
      </c>
      <c r="AH171" s="49">
        <f>ROUND($Q$8*(Table24[[#This Row],[SHL_TAR_IDPs]]*$AH$3+Table24[[#This Row],[SHL_TAR_HC]]*$AH$4+Table24[[#This Row],[SHL_TAR_NDP]]*$AH$5)/$AH$18,0)</f>
        <v>188</v>
      </c>
      <c r="AI171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  <c r="AK171" s="101">
        <v>0</v>
      </c>
      <c r="AL171" s="102"/>
    </row>
    <row r="172" spans="1:38" x14ac:dyDescent="0.55000000000000004">
      <c r="A172" t="s">
        <v>454</v>
      </c>
      <c r="B172" t="s">
        <v>204</v>
      </c>
      <c r="C172" t="s">
        <v>394</v>
      </c>
      <c r="D172" s="58">
        <f>_xlfn.XLOOKUP($B172, 'Prioritization calculation'!D:D, 'Prioritization calculation'!X:X, "")</f>
        <v>1</v>
      </c>
      <c r="E172" s="58">
        <v>4</v>
      </c>
      <c r="F172" s="58">
        <v>4</v>
      </c>
      <c r="G172" s="58" t="s">
        <v>521</v>
      </c>
      <c r="H172" s="58">
        <v>7925</v>
      </c>
      <c r="I172" s="58">
        <v>11560</v>
      </c>
      <c r="J172" s="58">
        <v>2500</v>
      </c>
      <c r="K172" s="58"/>
      <c r="L172" s="58">
        <v>0</v>
      </c>
      <c r="M172" s="58">
        <v>49281</v>
      </c>
      <c r="N172" s="58">
        <v>2466.890568911128</v>
      </c>
      <c r="O172" s="97">
        <f>SUM(Table24[[#This Row],[SHL_PIN_IDPs]:[SHL_PIN_NDP]])</f>
        <v>57709</v>
      </c>
      <c r="P172" s="98">
        <v>30750</v>
      </c>
      <c r="Q172" s="98">
        <v>18763</v>
      </c>
      <c r="R172" s="98">
        <v>8196</v>
      </c>
      <c r="S172" s="98">
        <f>ROUND(SUM(Table24[[#This Row],[SHL_TAR_IDPs]:[SHL_TAR_NDP]]),0)</f>
        <v>39887</v>
      </c>
      <c r="T172" s="48">
        <f>SUM(Table24[[#This Row],[HIDE IDP]:[HIDE NDP]])</f>
        <v>39886.5</v>
      </c>
      <c r="U172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24600</v>
      </c>
      <c r="V172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12008</v>
      </c>
      <c r="W172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3278.5</v>
      </c>
      <c r="X172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24600</v>
      </c>
      <c r="Y172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12008</v>
      </c>
      <c r="Z172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3278.5</v>
      </c>
      <c r="AA172" s="49">
        <f>ROUND($P$8*(Table24[[#This Row],[SHL_TAR_IDPs]]*$AA$3+Table24[[#This Row],[SHL_TAR_HC]]*$AA$4+Table24[[#This Row],[SHL_TAR_NDP]]*$AA$5)/$AA$18,0)</f>
        <v>3390</v>
      </c>
      <c r="AB172" s="49">
        <f>ROUND($P$8*(Table24[[#This Row],[SHL_TAR_IDPs]]*$AB$3+Table24[[#This Row],[SHL_TAR_HC]]*$AB$4+Table24[[#This Row],[SHL_TAR_NDP]]*$AB$5)/$AB$18,0)</f>
        <v>3390</v>
      </c>
      <c r="AC172" s="49">
        <f>ROUND($Q$8*(Table24[[#This Row],[SHL_TAR_IDPs]]*$AC$3+Table24[[#This Row],[SHL_TAR_HC]]*$AC$4+Table24[[#This Row],[SHL_TAR_NDP]]*$AC$5)/$AC$18,0)</f>
        <v>246</v>
      </c>
      <c r="AD172" s="49">
        <f>ROUND($Q$8*(Table24[[#This Row],[SHL_TAR_IDPs]]*$AD$3+Table24[[#This Row],[SHL_TAR_HC]]*$AD$4+Table24[[#This Row],[SHL_TAR_NDP]]*$AD$5)/$AD$18,0)</f>
        <v>246</v>
      </c>
      <c r="AE172" s="49">
        <f>ROUND($Q$8*(Table24[[#This Row],[SHL_TAR_IDPs]]*$AE$3+Table24[[#This Row],[SHL_TAR_HC]]*$AE$4+Table24[[#This Row],[SHL_TAR_NDP]]*$AE$5)/$AE$18,0)</f>
        <v>399</v>
      </c>
      <c r="AF172" s="49">
        <f>ROUND($Q$8*(Table24[[#This Row],[SHL_TAR_IDPs]]*$AF$3+Table24[[#This Row],[SHL_TAR_HC]]*$AF$4+Table24[[#This Row],[SHL_TAR_NDP]]*$AF$5)/$AF$18,0)</f>
        <v>798</v>
      </c>
      <c r="AG172" s="49">
        <f>ROUND($Q$8*(Table24[[#This Row],[SHL_TAR_IDPs]]*$AG$3+Table24[[#This Row],[SHL_TAR_HC]]*$AG$4+Table24[[#This Row],[SHL_TAR_NDP]]*$AG$5)/$AG$18,0)</f>
        <v>1688</v>
      </c>
      <c r="AH172" s="49">
        <f>ROUND($Q$8*(Table24[[#This Row],[SHL_TAR_IDPs]]*$AH$3+Table24[[#This Row],[SHL_TAR_HC]]*$AH$4+Table24[[#This Row],[SHL_TAR_NDP]]*$AH$5)/$AH$18,0)</f>
        <v>612</v>
      </c>
      <c r="AI172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  <c r="AK172" s="101">
        <v>0</v>
      </c>
      <c r="AL172" s="102"/>
    </row>
    <row r="173" spans="1:38" x14ac:dyDescent="0.55000000000000004">
      <c r="A173" t="s">
        <v>454</v>
      </c>
      <c r="B173" t="s">
        <v>205</v>
      </c>
      <c r="C173" t="s">
        <v>395</v>
      </c>
      <c r="D173" s="58">
        <f>_xlfn.XLOOKUP($B173, 'Prioritization calculation'!D:D, 'Prioritization calculation'!X:X, "")</f>
        <v>5</v>
      </c>
      <c r="E173" s="58">
        <v>4</v>
      </c>
      <c r="F173" s="58">
        <v>3</v>
      </c>
      <c r="G173" s="58" t="s">
        <v>572</v>
      </c>
      <c r="H173" s="58">
        <v>6913</v>
      </c>
      <c r="I173" s="58">
        <v>2270</v>
      </c>
      <c r="J173" s="58">
        <v>0</v>
      </c>
      <c r="K173" s="58"/>
      <c r="L173" s="58">
        <v>3200</v>
      </c>
      <c r="M173" s="58">
        <v>8139</v>
      </c>
      <c r="N173" s="58">
        <v>6217.045502645502</v>
      </c>
      <c r="O173" s="97">
        <f>SUM(Table24[[#This Row],[SHL_PIN_IDPs]:[SHL_PIN_NDP]])</f>
        <v>24236</v>
      </c>
      <c r="P173" s="98">
        <v>12865</v>
      </c>
      <c r="Q173" s="98">
        <v>4288</v>
      </c>
      <c r="R173" s="98">
        <v>7083</v>
      </c>
      <c r="S173" s="98">
        <f>ROUND(SUM(Table24[[#This Row],[SHL_TAR_IDPs]:[SHL_TAR_NDP]]),0)</f>
        <v>4700</v>
      </c>
      <c r="T173" s="100">
        <f>SUM(Table24[[#This Row],[HIDE IDP]:[HIDE NDP]])</f>
        <v>1984.2</v>
      </c>
      <c r="U173" s="100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1287</v>
      </c>
      <c r="V173" s="100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343.20000000000005</v>
      </c>
      <c r="W173" s="100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354</v>
      </c>
      <c r="X173" s="98">
        <v>3700</v>
      </c>
      <c r="Y173" s="9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0</v>
      </c>
      <c r="Z173" s="98">
        <v>1000</v>
      </c>
      <c r="AA173" s="49">
        <f>ROUND($P$8*(Table24[[#This Row],[SHL_TAR_IDPs]]*$AA$3+Table24[[#This Row],[SHL_TAR_HC]]*$AA$4+Table24[[#This Row],[SHL_TAR_NDP]]*$AA$5)/$AA$18,0)</f>
        <v>400</v>
      </c>
      <c r="AB173" s="49">
        <f>ROUND($P$8*(Table24[[#This Row],[SHL_TAR_IDPs]]*$AB$3+Table24[[#This Row],[SHL_TAR_HC]]*$AB$4+Table24[[#This Row],[SHL_TAR_NDP]]*$AB$5)/$AB$18,0)</f>
        <v>400</v>
      </c>
      <c r="AC173" s="49">
        <f>ROUND($Q$8*(Table24[[#This Row],[SHL_TAR_IDPs]]*$AC$3+Table24[[#This Row],[SHL_TAR_HC]]*$AC$4+Table24[[#This Row],[SHL_TAR_NDP]]*$AC$5)/$AC$18,0)</f>
        <v>37</v>
      </c>
      <c r="AD173" s="49">
        <f>ROUND($Q$8*(Table24[[#This Row],[SHL_TAR_IDPs]]*$AD$3+Table24[[#This Row],[SHL_TAR_HC]]*$AD$4+Table24[[#This Row],[SHL_TAR_NDP]]*$AD$5)/$AD$18,0)</f>
        <v>37</v>
      </c>
      <c r="AE173" s="49">
        <f>ROUND($Q$8*(Table24[[#This Row],[SHL_TAR_IDPs]]*$AE$3+Table24[[#This Row],[SHL_TAR_HC]]*$AE$4+Table24[[#This Row],[SHL_TAR_NDP]]*$AE$5)/$AE$18,0)</f>
        <v>47</v>
      </c>
      <c r="AF173" s="49">
        <f>ROUND($Q$8*(Table24[[#This Row],[SHL_TAR_IDPs]]*$AF$3+Table24[[#This Row],[SHL_TAR_HC]]*$AF$4+Table24[[#This Row],[SHL_TAR_NDP]]*$AF$5)/$AF$18,0)</f>
        <v>94</v>
      </c>
      <c r="AG173" s="49">
        <f>ROUND($Q$8*(Table24[[#This Row],[SHL_TAR_IDPs]]*$AG$3+Table24[[#This Row],[SHL_TAR_HC]]*$AG$4+Table24[[#This Row],[SHL_TAR_NDP]]*$AG$5)/$AG$18,0)</f>
        <v>181</v>
      </c>
      <c r="AH173" s="49">
        <f>ROUND($Q$8*(Table24[[#This Row],[SHL_TAR_IDPs]]*$AH$3+Table24[[#This Row],[SHL_TAR_HC]]*$AH$4+Table24[[#This Row],[SHL_TAR_NDP]]*$AH$5)/$AH$18,0)</f>
        <v>74</v>
      </c>
      <c r="AI173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  <c r="AK173" s="101">
        <v>8.9999999999999993E-3</v>
      </c>
      <c r="AL173" s="102"/>
    </row>
    <row r="174" spans="1:38" x14ac:dyDescent="0.55000000000000004">
      <c r="A174" t="s">
        <v>454</v>
      </c>
      <c r="B174" t="s">
        <v>206</v>
      </c>
      <c r="C174" t="s">
        <v>396</v>
      </c>
      <c r="D174" s="58">
        <f>_xlfn.XLOOKUP($B174, 'Prioritization calculation'!D:D, 'Prioritization calculation'!X:X, "")</f>
        <v>5</v>
      </c>
      <c r="E174" s="58">
        <v>3</v>
      </c>
      <c r="F174" s="58">
        <v>4</v>
      </c>
      <c r="G174" s="58" t="s">
        <v>572</v>
      </c>
      <c r="H174" s="58">
        <v>0</v>
      </c>
      <c r="I174" s="58">
        <v>0</v>
      </c>
      <c r="J174" s="58">
        <v>0</v>
      </c>
      <c r="K174" s="58"/>
      <c r="L174" s="58">
        <v>0</v>
      </c>
      <c r="M174" s="58">
        <v>0</v>
      </c>
      <c r="N174" s="58">
        <v>0</v>
      </c>
      <c r="O174" s="97">
        <f>SUM(Table24[[#This Row],[SHL_PIN_IDPs]:[SHL_PIN_NDP]])</f>
        <v>22955</v>
      </c>
      <c r="P174" s="98">
        <v>0</v>
      </c>
      <c r="Q174" s="98">
        <v>0</v>
      </c>
      <c r="R174" s="98">
        <v>22955</v>
      </c>
      <c r="S174" s="98">
        <f>ROUND(SUM(Table24[[#This Row],[SHL_TAR_IDPs]:[SHL_TAR_NDP]]),0)</f>
        <v>0</v>
      </c>
      <c r="T174" s="48">
        <f>SUM(Table24[[#This Row],[HIDE IDP]:[HIDE NDP]])</f>
        <v>574</v>
      </c>
      <c r="U174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0</v>
      </c>
      <c r="V174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0</v>
      </c>
      <c r="W174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574</v>
      </c>
      <c r="X174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0</v>
      </c>
      <c r="Y174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0</v>
      </c>
      <c r="Z174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174" s="49">
        <f>ROUND($P$8*(Table24[[#This Row],[SHL_TAR_IDPs]]*$AA$3+Table24[[#This Row],[SHL_TAR_HC]]*$AA$4+Table24[[#This Row],[SHL_TAR_NDP]]*$AA$5)/$AA$18,0)</f>
        <v>0</v>
      </c>
      <c r="AB174" s="49">
        <f>ROUND($P$8*(Table24[[#This Row],[SHL_TAR_IDPs]]*$AB$3+Table24[[#This Row],[SHL_TAR_HC]]*$AB$4+Table24[[#This Row],[SHL_TAR_NDP]]*$AB$5)/$AB$18,0)</f>
        <v>0</v>
      </c>
      <c r="AC174" s="49">
        <f>ROUND($Q$8*(Table24[[#This Row],[SHL_TAR_IDPs]]*$AC$3+Table24[[#This Row],[SHL_TAR_HC]]*$AC$4+Table24[[#This Row],[SHL_TAR_NDP]]*$AC$5)/$AC$18,0)</f>
        <v>0</v>
      </c>
      <c r="AD174" s="49">
        <f>ROUND($Q$8*(Table24[[#This Row],[SHL_TAR_IDPs]]*$AD$3+Table24[[#This Row],[SHL_TAR_HC]]*$AD$4+Table24[[#This Row],[SHL_TAR_NDP]]*$AD$5)/$AD$18,0)</f>
        <v>0</v>
      </c>
      <c r="AE174" s="49">
        <f>ROUND($Q$8*(Table24[[#This Row],[SHL_TAR_IDPs]]*$AE$3+Table24[[#This Row],[SHL_TAR_HC]]*$AE$4+Table24[[#This Row],[SHL_TAR_NDP]]*$AE$5)/$AE$18,0)</f>
        <v>0</v>
      </c>
      <c r="AF174" s="49">
        <f>ROUND($Q$8*(Table24[[#This Row],[SHL_TAR_IDPs]]*$AF$3+Table24[[#This Row],[SHL_TAR_HC]]*$AF$4+Table24[[#This Row],[SHL_TAR_NDP]]*$AF$5)/$AF$18,0)</f>
        <v>0</v>
      </c>
      <c r="AG174" s="49">
        <f>ROUND($Q$8*(Table24[[#This Row],[SHL_TAR_IDPs]]*$AG$3+Table24[[#This Row],[SHL_TAR_HC]]*$AG$4+Table24[[#This Row],[SHL_TAR_NDP]]*$AG$5)/$AG$18,0)</f>
        <v>0</v>
      </c>
      <c r="AH174" s="49">
        <f>ROUND($Q$8*(Table24[[#This Row],[SHL_TAR_IDPs]]*$AH$3+Table24[[#This Row],[SHL_TAR_HC]]*$AH$4+Table24[[#This Row],[SHL_TAR_NDP]]*$AH$5)/$AH$18,0)</f>
        <v>0</v>
      </c>
      <c r="AI174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  <c r="AK174" s="101">
        <v>1E-3</v>
      </c>
      <c r="AL174" s="102"/>
    </row>
    <row r="175" spans="1:38" x14ac:dyDescent="0.55000000000000004">
      <c r="A175" t="s">
        <v>454</v>
      </c>
      <c r="B175" t="s">
        <v>207</v>
      </c>
      <c r="C175" t="s">
        <v>397</v>
      </c>
      <c r="D175" s="58">
        <f>_xlfn.XLOOKUP($B175, 'Prioritization calculation'!D:D, 'Prioritization calculation'!X:X, "")</f>
        <v>3</v>
      </c>
      <c r="E175" s="58">
        <v>4</v>
      </c>
      <c r="F175" s="58">
        <v>3</v>
      </c>
      <c r="G175" s="58" t="s">
        <v>521</v>
      </c>
      <c r="H175" s="58">
        <v>1237</v>
      </c>
      <c r="I175" s="58">
        <v>1890</v>
      </c>
      <c r="J175" s="58">
        <v>0</v>
      </c>
      <c r="K175" s="58"/>
      <c r="L175" s="58">
        <v>0</v>
      </c>
      <c r="M175" s="58">
        <v>3242</v>
      </c>
      <c r="N175" s="58">
        <v>1879.8224489795921</v>
      </c>
      <c r="O175" s="97">
        <f>SUM(Table24[[#This Row],[SHL_PIN_IDPs]:[SHL_PIN_NDP]])</f>
        <v>8299</v>
      </c>
      <c r="P175" s="98">
        <v>3391</v>
      </c>
      <c r="Q175" s="98">
        <v>1579</v>
      </c>
      <c r="R175" s="98">
        <v>3329</v>
      </c>
      <c r="S175" s="98">
        <f>ROUND(SUM(Table24[[#This Row],[SHL_TAR_IDPs]:[SHL_TAR_NDP]]),0)</f>
        <v>400</v>
      </c>
      <c r="T175" s="100">
        <f>SUM(Table24[[#This Row],[HIDE IDP]:[HIDE NDP]])</f>
        <v>2527.6</v>
      </c>
      <c r="U175" s="100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1356</v>
      </c>
      <c r="V175" s="100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505.6</v>
      </c>
      <c r="W175" s="100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666</v>
      </c>
      <c r="X175" s="98">
        <f>100000*AK175</f>
        <v>400</v>
      </c>
      <c r="Y175" s="9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0</v>
      </c>
      <c r="Z175" s="9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175" s="49">
        <f>ROUND($P$8*(Table24[[#This Row],[SHL_TAR_IDPs]]*$AA$3+Table24[[#This Row],[SHL_TAR_HC]]*$AA$4+Table24[[#This Row],[SHL_TAR_NDP]]*$AA$5)/$AA$18,0)</f>
        <v>34</v>
      </c>
      <c r="AB175" s="49">
        <f>ROUND($P$8*(Table24[[#This Row],[SHL_TAR_IDPs]]*$AB$3+Table24[[#This Row],[SHL_TAR_HC]]*$AB$4+Table24[[#This Row],[SHL_TAR_NDP]]*$AB$5)/$AB$18,0)</f>
        <v>34</v>
      </c>
      <c r="AC175" s="49">
        <f>ROUND($Q$8*(Table24[[#This Row],[SHL_TAR_IDPs]]*$AC$3+Table24[[#This Row],[SHL_TAR_HC]]*$AC$4+Table24[[#This Row],[SHL_TAR_NDP]]*$AC$5)/$AC$18,0)</f>
        <v>4</v>
      </c>
      <c r="AD175" s="49">
        <f>ROUND($Q$8*(Table24[[#This Row],[SHL_TAR_IDPs]]*$AD$3+Table24[[#This Row],[SHL_TAR_HC]]*$AD$4+Table24[[#This Row],[SHL_TAR_NDP]]*$AD$5)/$AD$18,0)</f>
        <v>4</v>
      </c>
      <c r="AE175" s="49">
        <f>ROUND($Q$8*(Table24[[#This Row],[SHL_TAR_IDPs]]*$AE$3+Table24[[#This Row],[SHL_TAR_HC]]*$AE$4+Table24[[#This Row],[SHL_TAR_NDP]]*$AE$5)/$AE$18,0)</f>
        <v>4</v>
      </c>
      <c r="AF175" s="49">
        <f>ROUND($Q$8*(Table24[[#This Row],[SHL_TAR_IDPs]]*$AF$3+Table24[[#This Row],[SHL_TAR_HC]]*$AF$4+Table24[[#This Row],[SHL_TAR_NDP]]*$AF$5)/$AF$18,0)</f>
        <v>8</v>
      </c>
      <c r="AG175" s="49">
        <f>ROUND($Q$8*(Table24[[#This Row],[SHL_TAR_IDPs]]*$AG$3+Table24[[#This Row],[SHL_TAR_HC]]*$AG$4+Table24[[#This Row],[SHL_TAR_NDP]]*$AG$5)/$AG$18,0)</f>
        <v>12</v>
      </c>
      <c r="AH175" s="49">
        <f>ROUND($Q$8*(Table24[[#This Row],[SHL_TAR_IDPs]]*$AH$3+Table24[[#This Row],[SHL_TAR_HC]]*$AH$4+Table24[[#This Row],[SHL_TAR_NDP]]*$AH$5)/$AH$18,0)</f>
        <v>8</v>
      </c>
      <c r="AI175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  <c r="AK175" s="101">
        <v>4.0000000000000001E-3</v>
      </c>
      <c r="AL175" s="102"/>
    </row>
    <row r="176" spans="1:38" x14ac:dyDescent="0.55000000000000004">
      <c r="A176" t="s">
        <v>454</v>
      </c>
      <c r="B176" t="s">
        <v>208</v>
      </c>
      <c r="C176" t="s">
        <v>398</v>
      </c>
      <c r="D176" s="58">
        <f>_xlfn.XLOOKUP($B176, 'Prioritization calculation'!D:D, 'Prioritization calculation'!X:X, "")</f>
        <v>2</v>
      </c>
      <c r="E176" s="58">
        <v>2</v>
      </c>
      <c r="F176" s="58">
        <v>3</v>
      </c>
      <c r="G176" s="58" t="s">
        <v>521</v>
      </c>
      <c r="H176" s="58">
        <v>1812</v>
      </c>
      <c r="I176" s="58">
        <v>0</v>
      </c>
      <c r="J176" s="58">
        <v>0</v>
      </c>
      <c r="K176" s="58"/>
      <c r="L176" s="58">
        <v>0</v>
      </c>
      <c r="M176" s="58">
        <v>5844</v>
      </c>
      <c r="N176" s="58">
        <v>15.169811320754718</v>
      </c>
      <c r="O176" s="97">
        <f>SUM(Table24[[#This Row],[SHL_PIN_IDPs]:[SHL_PIN_NDP]])</f>
        <v>0</v>
      </c>
      <c r="P176" s="98">
        <v>0</v>
      </c>
      <c r="Q176" s="98">
        <v>0</v>
      </c>
      <c r="R176" s="98">
        <v>0</v>
      </c>
      <c r="S176" s="98">
        <f>ROUND(SUM(Table24[[#This Row],[SHL_TAR_IDPs]:[SHL_TAR_NDP]]),0)</f>
        <v>0</v>
      </c>
      <c r="T176" s="48">
        <f>SUM(Table24[[#This Row],[HIDE IDP]:[HIDE NDP]])</f>
        <v>0</v>
      </c>
      <c r="U176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0</v>
      </c>
      <c r="V176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0</v>
      </c>
      <c r="W176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0</v>
      </c>
      <c r="X176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0</v>
      </c>
      <c r="Y176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0</v>
      </c>
      <c r="Z176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176" s="49">
        <f>ROUND($P$8*(Table24[[#This Row],[SHL_TAR_IDPs]]*$AA$3+Table24[[#This Row],[SHL_TAR_HC]]*$AA$4+Table24[[#This Row],[SHL_TAR_NDP]]*$AA$5)/$AA$18,0)</f>
        <v>0</v>
      </c>
      <c r="AB176" s="49">
        <f>ROUND($P$8*(Table24[[#This Row],[SHL_TAR_IDPs]]*$AB$3+Table24[[#This Row],[SHL_TAR_HC]]*$AB$4+Table24[[#This Row],[SHL_TAR_NDP]]*$AB$5)/$AB$18,0)</f>
        <v>0</v>
      </c>
      <c r="AC176" s="49">
        <f>ROUND($Q$8*(Table24[[#This Row],[SHL_TAR_IDPs]]*$AC$3+Table24[[#This Row],[SHL_TAR_HC]]*$AC$4+Table24[[#This Row],[SHL_TAR_NDP]]*$AC$5)/$AC$18,0)</f>
        <v>0</v>
      </c>
      <c r="AD176" s="49">
        <f>ROUND($Q$8*(Table24[[#This Row],[SHL_TAR_IDPs]]*$AD$3+Table24[[#This Row],[SHL_TAR_HC]]*$AD$4+Table24[[#This Row],[SHL_TAR_NDP]]*$AD$5)/$AD$18,0)</f>
        <v>0</v>
      </c>
      <c r="AE176" s="49">
        <f>ROUND($Q$8*(Table24[[#This Row],[SHL_TAR_IDPs]]*$AE$3+Table24[[#This Row],[SHL_TAR_HC]]*$AE$4+Table24[[#This Row],[SHL_TAR_NDP]]*$AE$5)/$AE$18,0)</f>
        <v>0</v>
      </c>
      <c r="AF176" s="49">
        <f>ROUND($Q$8*(Table24[[#This Row],[SHL_TAR_IDPs]]*$AF$3+Table24[[#This Row],[SHL_TAR_HC]]*$AF$4+Table24[[#This Row],[SHL_TAR_NDP]]*$AF$5)/$AF$18,0)</f>
        <v>0</v>
      </c>
      <c r="AG176" s="49">
        <f>ROUND($Q$8*(Table24[[#This Row],[SHL_TAR_IDPs]]*$AG$3+Table24[[#This Row],[SHL_TAR_HC]]*$AG$4+Table24[[#This Row],[SHL_TAR_NDP]]*$AG$5)/$AG$18,0)</f>
        <v>0</v>
      </c>
      <c r="AH176" s="49">
        <f>ROUND($Q$8*(Table24[[#This Row],[SHL_TAR_IDPs]]*$AH$3+Table24[[#This Row],[SHL_TAR_HC]]*$AH$4+Table24[[#This Row],[SHL_TAR_NDP]]*$AH$5)/$AH$18,0)</f>
        <v>0</v>
      </c>
      <c r="AI176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  <c r="AK176" s="101">
        <v>1.2E-2</v>
      </c>
      <c r="AL176" s="102"/>
    </row>
    <row r="177" spans="1:38" x14ac:dyDescent="0.55000000000000004">
      <c r="A177" t="s">
        <v>454</v>
      </c>
      <c r="B177" t="s">
        <v>209</v>
      </c>
      <c r="C177" t="s">
        <v>399</v>
      </c>
      <c r="D177" s="58">
        <f>_xlfn.XLOOKUP($B177, 'Prioritization calculation'!D:D, 'Prioritization calculation'!X:X, "")</f>
        <v>3</v>
      </c>
      <c r="E177" s="58">
        <v>3</v>
      </c>
      <c r="F177" s="58">
        <v>3</v>
      </c>
      <c r="G177" s="58" t="s">
        <v>521</v>
      </c>
      <c r="H177" s="58">
        <v>4820</v>
      </c>
      <c r="I177" s="98">
        <v>25070</v>
      </c>
      <c r="J177" s="58">
        <v>0</v>
      </c>
      <c r="K177" s="58"/>
      <c r="L177" s="58">
        <v>0</v>
      </c>
      <c r="M177" s="58">
        <v>11948</v>
      </c>
      <c r="N177" s="58">
        <v>1954.1883744594252</v>
      </c>
      <c r="O177" s="97">
        <f>SUM(Table24[[#This Row],[SHL_PIN_IDPs]:[SHL_PIN_NDP]])</f>
        <v>8076</v>
      </c>
      <c r="P177" s="98">
        <v>8076</v>
      </c>
      <c r="Q177" s="98">
        <v>0</v>
      </c>
      <c r="R177" s="98">
        <v>0</v>
      </c>
      <c r="S177" s="98">
        <f>ROUND(SUM(Table24[[#This Row],[SHL_TAR_IDPs]:[SHL_TAR_NDP]]),0)</f>
        <v>1615</v>
      </c>
      <c r="T177" s="48">
        <f>SUM(Table24[[#This Row],[HIDE IDP]:[HIDE NDP]])</f>
        <v>1615</v>
      </c>
      <c r="U177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1615</v>
      </c>
      <c r="V177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0</v>
      </c>
      <c r="W177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0</v>
      </c>
      <c r="X177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1615</v>
      </c>
      <c r="Y177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0</v>
      </c>
      <c r="Z177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177" s="49">
        <f>ROUND($P$8*(Table24[[#This Row],[SHL_TAR_IDPs]]*$AA$3+Table24[[#This Row],[SHL_TAR_HC]]*$AA$4+Table24[[#This Row],[SHL_TAR_NDP]]*$AA$5)/$AA$18,0)</f>
        <v>137</v>
      </c>
      <c r="AB177" s="49">
        <f>ROUND($P$8*(Table24[[#This Row],[SHL_TAR_IDPs]]*$AB$3+Table24[[#This Row],[SHL_TAR_HC]]*$AB$4+Table24[[#This Row],[SHL_TAR_NDP]]*$AB$5)/$AB$18,0)</f>
        <v>137</v>
      </c>
      <c r="AC177" s="49">
        <f>ROUND($Q$8*(Table24[[#This Row],[SHL_TAR_IDPs]]*$AC$3+Table24[[#This Row],[SHL_TAR_HC]]*$AC$4+Table24[[#This Row],[SHL_TAR_NDP]]*$AC$5)/$AC$18,0)</f>
        <v>16</v>
      </c>
      <c r="AD177" s="49">
        <f>ROUND($Q$8*(Table24[[#This Row],[SHL_TAR_IDPs]]*$AD$3+Table24[[#This Row],[SHL_TAR_HC]]*$AD$4+Table24[[#This Row],[SHL_TAR_NDP]]*$AD$5)/$AD$18,0)</f>
        <v>16</v>
      </c>
      <c r="AE177" s="49">
        <f>ROUND($Q$8*(Table24[[#This Row],[SHL_TAR_IDPs]]*$AE$3+Table24[[#This Row],[SHL_TAR_HC]]*$AE$4+Table24[[#This Row],[SHL_TAR_NDP]]*$AE$5)/$AE$18,0)</f>
        <v>16</v>
      </c>
      <c r="AF177" s="49">
        <f>ROUND($Q$8*(Table24[[#This Row],[SHL_TAR_IDPs]]*$AF$3+Table24[[#This Row],[SHL_TAR_HC]]*$AF$4+Table24[[#This Row],[SHL_TAR_NDP]]*$AF$5)/$AF$18,0)</f>
        <v>32</v>
      </c>
      <c r="AG177" s="49">
        <f>ROUND($Q$8*(Table24[[#This Row],[SHL_TAR_IDPs]]*$AG$3+Table24[[#This Row],[SHL_TAR_HC]]*$AG$4+Table24[[#This Row],[SHL_TAR_NDP]]*$AG$5)/$AG$18,0)</f>
        <v>48</v>
      </c>
      <c r="AH177" s="49">
        <f>ROUND($Q$8*(Table24[[#This Row],[SHL_TAR_IDPs]]*$AH$3+Table24[[#This Row],[SHL_TAR_HC]]*$AH$4+Table24[[#This Row],[SHL_TAR_NDP]]*$AH$5)/$AH$18,0)</f>
        <v>32</v>
      </c>
      <c r="AI177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  <c r="AK177" s="101">
        <v>4.0000000000000001E-3</v>
      </c>
      <c r="AL177" s="102"/>
    </row>
    <row r="178" spans="1:38" x14ac:dyDescent="0.55000000000000004">
      <c r="A178" t="s">
        <v>454</v>
      </c>
      <c r="B178" t="s">
        <v>210</v>
      </c>
      <c r="C178" t="s">
        <v>400</v>
      </c>
      <c r="D178" s="58">
        <f>_xlfn.XLOOKUP($B178, 'Prioritization calculation'!D:D, 'Prioritization calculation'!X:X, "")</f>
        <v>5</v>
      </c>
      <c r="E178" s="58">
        <v>3</v>
      </c>
      <c r="F178" s="58">
        <v>3</v>
      </c>
      <c r="G178" s="58" t="s">
        <v>572</v>
      </c>
      <c r="H178" s="58">
        <v>10792</v>
      </c>
      <c r="I178" s="58">
        <v>0</v>
      </c>
      <c r="J178" s="58">
        <v>0</v>
      </c>
      <c r="K178" s="58"/>
      <c r="L178" s="58">
        <v>0</v>
      </c>
      <c r="M178" s="58">
        <v>2456</v>
      </c>
      <c r="N178" s="58">
        <v>4094.0965250965255</v>
      </c>
      <c r="O178" s="97">
        <f>SUM(Table24[[#This Row],[SHL_PIN_IDPs]:[SHL_PIN_NDP]])</f>
        <v>12688</v>
      </c>
      <c r="P178" s="98">
        <v>8459</v>
      </c>
      <c r="Q178" s="98">
        <v>4229</v>
      </c>
      <c r="R178" s="98">
        <v>0</v>
      </c>
      <c r="S178" s="98">
        <f>ROUND(SUM(Table24[[#This Row],[SHL_TAR_IDPs]:[SHL_TAR_NDP]]),0)</f>
        <v>7300</v>
      </c>
      <c r="T178" s="100">
        <f>SUM(Table24[[#This Row],[HIDE IDP]:[HIDE NDP]])</f>
        <v>591.79999999999995</v>
      </c>
      <c r="U178" s="100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423</v>
      </c>
      <c r="V178" s="100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168.8</v>
      </c>
      <c r="W178" s="100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0</v>
      </c>
      <c r="X178" s="98">
        <v>5300</v>
      </c>
      <c r="Y178" s="98">
        <v>2000</v>
      </c>
      <c r="Z178" s="9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178" s="49">
        <f>ROUND($P$8*(Table24[[#This Row],[SHL_TAR_IDPs]]*$AA$3+Table24[[#This Row],[SHL_TAR_HC]]*$AA$4+Table24[[#This Row],[SHL_TAR_NDP]]*$AA$5)/$AA$18,0)</f>
        <v>621</v>
      </c>
      <c r="AB178" s="49">
        <f>ROUND($P$8*(Table24[[#This Row],[SHL_TAR_IDPs]]*$AB$3+Table24[[#This Row],[SHL_TAR_HC]]*$AB$4+Table24[[#This Row],[SHL_TAR_NDP]]*$AB$5)/$AB$18,0)</f>
        <v>621</v>
      </c>
      <c r="AC178" s="49">
        <f>ROUND($Q$8*(Table24[[#This Row],[SHL_TAR_IDPs]]*$AC$3+Table24[[#This Row],[SHL_TAR_HC]]*$AC$4+Table24[[#This Row],[SHL_TAR_NDP]]*$AC$5)/$AC$18,0)</f>
        <v>53</v>
      </c>
      <c r="AD178" s="49">
        <f>ROUND($Q$8*(Table24[[#This Row],[SHL_TAR_IDPs]]*$AD$3+Table24[[#This Row],[SHL_TAR_HC]]*$AD$4+Table24[[#This Row],[SHL_TAR_NDP]]*$AD$5)/$AD$18,0)</f>
        <v>53</v>
      </c>
      <c r="AE178" s="49">
        <f>ROUND($Q$8*(Table24[[#This Row],[SHL_TAR_IDPs]]*$AE$3+Table24[[#This Row],[SHL_TAR_HC]]*$AE$4+Table24[[#This Row],[SHL_TAR_NDP]]*$AE$5)/$AE$18,0)</f>
        <v>73</v>
      </c>
      <c r="AF178" s="49">
        <f>ROUND($Q$8*(Table24[[#This Row],[SHL_TAR_IDPs]]*$AF$3+Table24[[#This Row],[SHL_TAR_HC]]*$AF$4+Table24[[#This Row],[SHL_TAR_NDP]]*$AF$5)/$AF$18,0)</f>
        <v>146</v>
      </c>
      <c r="AG178" s="49">
        <f>ROUND($Q$8*(Table24[[#This Row],[SHL_TAR_IDPs]]*$AG$3+Table24[[#This Row],[SHL_TAR_HC]]*$AG$4+Table24[[#This Row],[SHL_TAR_NDP]]*$AG$5)/$AG$18,0)</f>
        <v>279</v>
      </c>
      <c r="AH178" s="49">
        <f>ROUND($Q$8*(Table24[[#This Row],[SHL_TAR_IDPs]]*$AH$3+Table24[[#This Row],[SHL_TAR_HC]]*$AH$4+Table24[[#This Row],[SHL_TAR_NDP]]*$AH$5)/$AH$18,0)</f>
        <v>126</v>
      </c>
      <c r="AI178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  <c r="AK178" s="101">
        <v>4.8000000000000001E-2</v>
      </c>
      <c r="AL178" s="102"/>
    </row>
    <row r="179" spans="1:38" x14ac:dyDescent="0.55000000000000004">
      <c r="A179" t="s">
        <v>454</v>
      </c>
      <c r="B179" t="s">
        <v>211</v>
      </c>
      <c r="C179" t="s">
        <v>401</v>
      </c>
      <c r="D179" s="58">
        <f>_xlfn.XLOOKUP($B179, 'Prioritization calculation'!D:D, 'Prioritization calculation'!X:X, "")</f>
        <v>3</v>
      </c>
      <c r="E179" s="58">
        <v>3</v>
      </c>
      <c r="F179" s="58">
        <v>5</v>
      </c>
      <c r="G179" s="58" t="s">
        <v>521</v>
      </c>
      <c r="H179" s="58">
        <v>1120</v>
      </c>
      <c r="I179" s="58">
        <v>0</v>
      </c>
      <c r="J179" s="58">
        <v>0</v>
      </c>
      <c r="K179" s="58"/>
      <c r="L179" s="58">
        <v>0</v>
      </c>
      <c r="M179" s="58">
        <v>2578</v>
      </c>
      <c r="N179" s="58">
        <v>77.131805157593121</v>
      </c>
      <c r="O179" s="97">
        <f>SUM(Table24[[#This Row],[SHL_PIN_IDPs]:[SHL_PIN_NDP]])</f>
        <v>8901</v>
      </c>
      <c r="P179" s="98">
        <v>0</v>
      </c>
      <c r="Q179" s="98">
        <v>605</v>
      </c>
      <c r="R179" s="98">
        <v>8296</v>
      </c>
      <c r="S179" s="98">
        <f>ROUND(SUM(Table24[[#This Row],[SHL_TAR_IDPs]:[SHL_TAR_NDP]]),0)</f>
        <v>0</v>
      </c>
      <c r="T179" s="48">
        <f>SUM(Table24[[#This Row],[HIDE IDP]:[HIDE NDP]])</f>
        <v>926.3</v>
      </c>
      <c r="U179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0</v>
      </c>
      <c r="V179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96.800000000000011</v>
      </c>
      <c r="W179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829.5</v>
      </c>
      <c r="X179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0</v>
      </c>
      <c r="Y179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0</v>
      </c>
      <c r="Z179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179" s="49">
        <f>ROUND($P$8*(Table24[[#This Row],[SHL_TAR_IDPs]]*$AA$3+Table24[[#This Row],[SHL_TAR_HC]]*$AA$4+Table24[[#This Row],[SHL_TAR_NDP]]*$AA$5)/$AA$18,0)</f>
        <v>0</v>
      </c>
      <c r="AB179" s="49">
        <f>ROUND($P$8*(Table24[[#This Row],[SHL_TAR_IDPs]]*$AB$3+Table24[[#This Row],[SHL_TAR_HC]]*$AB$4+Table24[[#This Row],[SHL_TAR_NDP]]*$AB$5)/$AB$18,0)</f>
        <v>0</v>
      </c>
      <c r="AC179" s="49">
        <f>ROUND($Q$8*(Table24[[#This Row],[SHL_TAR_IDPs]]*$AC$3+Table24[[#This Row],[SHL_TAR_HC]]*$AC$4+Table24[[#This Row],[SHL_TAR_NDP]]*$AC$5)/$AC$18,0)</f>
        <v>0</v>
      </c>
      <c r="AD179" s="49">
        <f>ROUND($Q$8*(Table24[[#This Row],[SHL_TAR_IDPs]]*$AD$3+Table24[[#This Row],[SHL_TAR_HC]]*$AD$4+Table24[[#This Row],[SHL_TAR_NDP]]*$AD$5)/$AD$18,0)</f>
        <v>0</v>
      </c>
      <c r="AE179" s="49">
        <f>ROUND($Q$8*(Table24[[#This Row],[SHL_TAR_IDPs]]*$AE$3+Table24[[#This Row],[SHL_TAR_HC]]*$AE$4+Table24[[#This Row],[SHL_TAR_NDP]]*$AE$5)/$AE$18,0)</f>
        <v>0</v>
      </c>
      <c r="AF179" s="49">
        <f>ROUND($Q$8*(Table24[[#This Row],[SHL_TAR_IDPs]]*$AF$3+Table24[[#This Row],[SHL_TAR_HC]]*$AF$4+Table24[[#This Row],[SHL_TAR_NDP]]*$AF$5)/$AF$18,0)</f>
        <v>0</v>
      </c>
      <c r="AG179" s="49">
        <f>ROUND($Q$8*(Table24[[#This Row],[SHL_TAR_IDPs]]*$AG$3+Table24[[#This Row],[SHL_TAR_HC]]*$AG$4+Table24[[#This Row],[SHL_TAR_NDP]]*$AG$5)/$AG$18,0)</f>
        <v>0</v>
      </c>
      <c r="AH179" s="49">
        <f>ROUND($Q$8*(Table24[[#This Row],[SHL_TAR_IDPs]]*$AH$3+Table24[[#This Row],[SHL_TAR_HC]]*$AH$4+Table24[[#This Row],[SHL_TAR_NDP]]*$AH$5)/$AH$18,0)</f>
        <v>0</v>
      </c>
      <c r="AI179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  <c r="AK179" s="101">
        <v>3.6999999999999998E-2</v>
      </c>
      <c r="AL179" s="102"/>
    </row>
    <row r="180" spans="1:38" x14ac:dyDescent="0.55000000000000004">
      <c r="A180" t="s">
        <v>454</v>
      </c>
      <c r="B180" t="s">
        <v>212</v>
      </c>
      <c r="C180" t="s">
        <v>402</v>
      </c>
      <c r="D180" s="58">
        <f>_xlfn.XLOOKUP($B180, 'Prioritization calculation'!D:D, 'Prioritization calculation'!X:X, "")</f>
        <v>4</v>
      </c>
      <c r="E180" s="58">
        <v>2</v>
      </c>
      <c r="F180" s="58">
        <v>3</v>
      </c>
      <c r="G180" s="58" t="s">
        <v>572</v>
      </c>
      <c r="H180" s="58">
        <v>705</v>
      </c>
      <c r="I180" s="58">
        <v>0</v>
      </c>
      <c r="J180" s="58">
        <v>0</v>
      </c>
      <c r="K180" s="58"/>
      <c r="L180" s="58">
        <v>0</v>
      </c>
      <c r="M180" s="58">
        <v>4113</v>
      </c>
      <c r="N180" s="58">
        <v>649.66391184573001</v>
      </c>
      <c r="O180" s="97">
        <f>SUM(Table24[[#This Row],[SHL_PIN_IDPs]:[SHL_PIN_NDP]])</f>
        <v>0</v>
      </c>
      <c r="P180" s="98">
        <v>0</v>
      </c>
      <c r="Q180" s="98">
        <v>0</v>
      </c>
      <c r="R180" s="98">
        <v>0</v>
      </c>
      <c r="S180" s="98">
        <f>ROUND(SUM(Table24[[#This Row],[SHL_TAR_IDPs]:[SHL_TAR_NDP]]),0)</f>
        <v>0</v>
      </c>
      <c r="T180" s="48">
        <f>SUM(Table24[[#This Row],[HIDE IDP]:[HIDE NDP]])</f>
        <v>0</v>
      </c>
      <c r="U180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0</v>
      </c>
      <c r="V180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0</v>
      </c>
      <c r="W180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0</v>
      </c>
      <c r="X180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0</v>
      </c>
      <c r="Y180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0</v>
      </c>
      <c r="Z180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180" s="49">
        <f>ROUND($P$8*(Table24[[#This Row],[SHL_TAR_IDPs]]*$AA$3+Table24[[#This Row],[SHL_TAR_HC]]*$AA$4+Table24[[#This Row],[SHL_TAR_NDP]]*$AA$5)/$AA$18,0)</f>
        <v>0</v>
      </c>
      <c r="AB180" s="49">
        <f>ROUND($P$8*(Table24[[#This Row],[SHL_TAR_IDPs]]*$AB$3+Table24[[#This Row],[SHL_TAR_HC]]*$AB$4+Table24[[#This Row],[SHL_TAR_NDP]]*$AB$5)/$AB$18,0)</f>
        <v>0</v>
      </c>
      <c r="AC180" s="49">
        <f>ROUND($Q$8*(Table24[[#This Row],[SHL_TAR_IDPs]]*$AC$3+Table24[[#This Row],[SHL_TAR_HC]]*$AC$4+Table24[[#This Row],[SHL_TAR_NDP]]*$AC$5)/$AC$18,0)</f>
        <v>0</v>
      </c>
      <c r="AD180" s="49">
        <f>ROUND($Q$8*(Table24[[#This Row],[SHL_TAR_IDPs]]*$AD$3+Table24[[#This Row],[SHL_TAR_HC]]*$AD$4+Table24[[#This Row],[SHL_TAR_NDP]]*$AD$5)/$AD$18,0)</f>
        <v>0</v>
      </c>
      <c r="AE180" s="49">
        <f>ROUND($Q$8*(Table24[[#This Row],[SHL_TAR_IDPs]]*$AE$3+Table24[[#This Row],[SHL_TAR_HC]]*$AE$4+Table24[[#This Row],[SHL_TAR_NDP]]*$AE$5)/$AE$18,0)</f>
        <v>0</v>
      </c>
      <c r="AF180" s="49">
        <f>ROUND($Q$8*(Table24[[#This Row],[SHL_TAR_IDPs]]*$AF$3+Table24[[#This Row],[SHL_TAR_HC]]*$AF$4+Table24[[#This Row],[SHL_TAR_NDP]]*$AF$5)/$AF$18,0)</f>
        <v>0</v>
      </c>
      <c r="AG180" s="49">
        <f>ROUND($Q$8*(Table24[[#This Row],[SHL_TAR_IDPs]]*$AG$3+Table24[[#This Row],[SHL_TAR_HC]]*$AG$4+Table24[[#This Row],[SHL_TAR_NDP]]*$AG$5)/$AG$18,0)</f>
        <v>0</v>
      </c>
      <c r="AH180" s="49">
        <f>ROUND($Q$8*(Table24[[#This Row],[SHL_TAR_IDPs]]*$AH$3+Table24[[#This Row],[SHL_TAR_HC]]*$AH$4+Table24[[#This Row],[SHL_TAR_NDP]]*$AH$5)/$AH$18,0)</f>
        <v>0</v>
      </c>
      <c r="AI180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  <c r="AK180" s="101">
        <v>3.5999999999999997E-2</v>
      </c>
      <c r="AL180" s="102"/>
    </row>
    <row r="181" spans="1:38" x14ac:dyDescent="0.55000000000000004">
      <c r="A181" t="s">
        <v>454</v>
      </c>
      <c r="B181" t="s">
        <v>213</v>
      </c>
      <c r="C181" t="s">
        <v>403</v>
      </c>
      <c r="D181" s="58">
        <f>_xlfn.XLOOKUP($B181, 'Prioritization calculation'!D:D, 'Prioritization calculation'!X:X, "")</f>
        <v>5</v>
      </c>
      <c r="E181" s="58">
        <v>3</v>
      </c>
      <c r="F181" s="58">
        <v>5</v>
      </c>
      <c r="G181" s="58" t="s">
        <v>572</v>
      </c>
      <c r="H181" s="58">
        <v>8588</v>
      </c>
      <c r="I181" s="58">
        <v>0</v>
      </c>
      <c r="J181" s="58">
        <v>0</v>
      </c>
      <c r="K181" s="58"/>
      <c r="L181" s="58">
        <v>0</v>
      </c>
      <c r="M181" s="58">
        <v>5586</v>
      </c>
      <c r="N181" s="58">
        <v>2047.6330911492732</v>
      </c>
      <c r="O181" s="97">
        <f>SUM(Table24[[#This Row],[SHL_PIN_IDPs]:[SHL_PIN_NDP]])</f>
        <v>39360</v>
      </c>
      <c r="P181" s="98">
        <v>16042</v>
      </c>
      <c r="Q181" s="98">
        <v>0</v>
      </c>
      <c r="R181" s="98">
        <v>23318</v>
      </c>
      <c r="S181" s="98">
        <f>ROUND(SUM(Table24[[#This Row],[SHL_TAR_IDPs]:[SHL_TAR_NDP]]),0)</f>
        <v>5800</v>
      </c>
      <c r="T181" s="100">
        <f>SUM(Table24[[#This Row],[HIDE IDP]:[HIDE NDP]])</f>
        <v>1385</v>
      </c>
      <c r="U181" s="100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802</v>
      </c>
      <c r="V181" s="100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0</v>
      </c>
      <c r="W181" s="100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583</v>
      </c>
      <c r="X181" s="98">
        <v>3800</v>
      </c>
      <c r="Y181" s="9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0</v>
      </c>
      <c r="Z181" s="98">
        <v>2000</v>
      </c>
      <c r="AA181" s="49">
        <f>ROUND($P$8*(Table24[[#This Row],[SHL_TAR_IDPs]]*$AA$3+Table24[[#This Row],[SHL_TAR_HC]]*$AA$4+Table24[[#This Row],[SHL_TAR_NDP]]*$AA$5)/$AA$18,0)</f>
        <v>493</v>
      </c>
      <c r="AB181" s="49">
        <f>ROUND($P$8*(Table24[[#This Row],[SHL_TAR_IDPs]]*$AB$3+Table24[[#This Row],[SHL_TAR_HC]]*$AB$4+Table24[[#This Row],[SHL_TAR_NDP]]*$AB$5)/$AB$18,0)</f>
        <v>493</v>
      </c>
      <c r="AC181" s="49">
        <f>ROUND($Q$8*(Table24[[#This Row],[SHL_TAR_IDPs]]*$AC$3+Table24[[#This Row],[SHL_TAR_HC]]*$AC$4+Table24[[#This Row],[SHL_TAR_NDP]]*$AC$5)/$AC$18,0)</f>
        <v>38</v>
      </c>
      <c r="AD181" s="49">
        <f>ROUND($Q$8*(Table24[[#This Row],[SHL_TAR_IDPs]]*$AD$3+Table24[[#This Row],[SHL_TAR_HC]]*$AD$4+Table24[[#This Row],[SHL_TAR_NDP]]*$AD$5)/$AD$18,0)</f>
        <v>38</v>
      </c>
      <c r="AE181" s="49">
        <f>ROUND($Q$8*(Table24[[#This Row],[SHL_TAR_IDPs]]*$AE$3+Table24[[#This Row],[SHL_TAR_HC]]*$AE$4+Table24[[#This Row],[SHL_TAR_NDP]]*$AE$5)/$AE$18,0)</f>
        <v>58</v>
      </c>
      <c r="AF181" s="49">
        <f>ROUND($Q$8*(Table24[[#This Row],[SHL_TAR_IDPs]]*$AF$3+Table24[[#This Row],[SHL_TAR_HC]]*$AF$4+Table24[[#This Row],[SHL_TAR_NDP]]*$AF$5)/$AF$18,0)</f>
        <v>116</v>
      </c>
      <c r="AG181" s="49">
        <f>ROUND($Q$8*(Table24[[#This Row],[SHL_TAR_IDPs]]*$AG$3+Table24[[#This Row],[SHL_TAR_HC]]*$AG$4+Table24[[#This Row],[SHL_TAR_NDP]]*$AG$5)/$AG$18,0)</f>
        <v>254</v>
      </c>
      <c r="AH181" s="49">
        <f>ROUND($Q$8*(Table24[[#This Row],[SHL_TAR_IDPs]]*$AH$3+Table24[[#This Row],[SHL_TAR_HC]]*$AH$4+Table24[[#This Row],[SHL_TAR_NDP]]*$AH$5)/$AH$18,0)</f>
        <v>76</v>
      </c>
      <c r="AI181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  <c r="AK181" s="101">
        <v>5.8000000000000003E-2</v>
      </c>
      <c r="AL181" s="102"/>
    </row>
    <row r="182" spans="1:38" x14ac:dyDescent="0.55000000000000004">
      <c r="A182" t="s">
        <v>454</v>
      </c>
      <c r="B182" t="s">
        <v>214</v>
      </c>
      <c r="C182" t="s">
        <v>404</v>
      </c>
      <c r="D182" s="58">
        <f>_xlfn.XLOOKUP($B182, 'Prioritization calculation'!D:D, 'Prioritization calculation'!X:X, "")</f>
        <v>3</v>
      </c>
      <c r="E182" s="58">
        <v>3</v>
      </c>
      <c r="F182" s="58">
        <v>4</v>
      </c>
      <c r="G182" s="58" t="s">
        <v>521</v>
      </c>
      <c r="H182" s="58">
        <v>1400</v>
      </c>
      <c r="I182" s="58">
        <v>0</v>
      </c>
      <c r="J182" s="58">
        <v>0</v>
      </c>
      <c r="K182" s="58"/>
      <c r="L182" s="58">
        <v>0</v>
      </c>
      <c r="M182" s="58">
        <v>14803</v>
      </c>
      <c r="N182" s="58">
        <v>4706.6618209640392</v>
      </c>
      <c r="O182" s="97">
        <f>SUM(Table24[[#This Row],[SHL_PIN_IDPs]:[SHL_PIN_NDP]])</f>
        <v>12122</v>
      </c>
      <c r="P182" s="98">
        <v>6222</v>
      </c>
      <c r="Q182" s="98">
        <v>5900</v>
      </c>
      <c r="R182" s="98">
        <v>0</v>
      </c>
      <c r="S182" s="98">
        <f>ROUND(SUM(Table24[[#This Row],[SHL_TAR_IDPs]:[SHL_TAR_NDP]]),0)</f>
        <v>1700</v>
      </c>
      <c r="T182" s="100">
        <f>SUM(Table24[[#This Row],[HIDE IDP]:[HIDE NDP]])</f>
        <v>2188</v>
      </c>
      <c r="U182" s="100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1244</v>
      </c>
      <c r="V182" s="100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944</v>
      </c>
      <c r="W182" s="100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0</v>
      </c>
      <c r="X182" s="98">
        <f>100000*AK182</f>
        <v>1700.0000000000002</v>
      </c>
      <c r="Y182" s="9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0</v>
      </c>
      <c r="Z182" s="9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182" s="49">
        <f>ROUND($P$8*(Table24[[#This Row],[SHL_TAR_IDPs]]*$AA$3+Table24[[#This Row],[SHL_TAR_HC]]*$AA$4+Table24[[#This Row],[SHL_TAR_NDP]]*$AA$5)/$AA$18,0)</f>
        <v>145</v>
      </c>
      <c r="AB182" s="49">
        <f>ROUND($P$8*(Table24[[#This Row],[SHL_TAR_IDPs]]*$AB$3+Table24[[#This Row],[SHL_TAR_HC]]*$AB$4+Table24[[#This Row],[SHL_TAR_NDP]]*$AB$5)/$AB$18,0)</f>
        <v>145</v>
      </c>
      <c r="AC182" s="49">
        <f>ROUND($Q$8*(Table24[[#This Row],[SHL_TAR_IDPs]]*$AC$3+Table24[[#This Row],[SHL_TAR_HC]]*$AC$4+Table24[[#This Row],[SHL_TAR_NDP]]*$AC$5)/$AC$18,0)</f>
        <v>17</v>
      </c>
      <c r="AD182" s="49">
        <f>ROUND($Q$8*(Table24[[#This Row],[SHL_TAR_IDPs]]*$AD$3+Table24[[#This Row],[SHL_TAR_HC]]*$AD$4+Table24[[#This Row],[SHL_TAR_NDP]]*$AD$5)/$AD$18,0)</f>
        <v>17</v>
      </c>
      <c r="AE182" s="49">
        <f>ROUND($Q$8*(Table24[[#This Row],[SHL_TAR_IDPs]]*$AE$3+Table24[[#This Row],[SHL_TAR_HC]]*$AE$4+Table24[[#This Row],[SHL_TAR_NDP]]*$AE$5)/$AE$18,0)</f>
        <v>17</v>
      </c>
      <c r="AF182" s="49">
        <f>ROUND($Q$8*(Table24[[#This Row],[SHL_TAR_IDPs]]*$AF$3+Table24[[#This Row],[SHL_TAR_HC]]*$AF$4+Table24[[#This Row],[SHL_TAR_NDP]]*$AF$5)/$AF$18,0)</f>
        <v>34</v>
      </c>
      <c r="AG182" s="49">
        <f>ROUND($Q$8*(Table24[[#This Row],[SHL_TAR_IDPs]]*$AG$3+Table24[[#This Row],[SHL_TAR_HC]]*$AG$4+Table24[[#This Row],[SHL_TAR_NDP]]*$AG$5)/$AG$18,0)</f>
        <v>51</v>
      </c>
      <c r="AH182" s="49">
        <f>ROUND($Q$8*(Table24[[#This Row],[SHL_TAR_IDPs]]*$AH$3+Table24[[#This Row],[SHL_TAR_HC]]*$AH$4+Table24[[#This Row],[SHL_TAR_NDP]]*$AH$5)/$AH$18,0)</f>
        <v>34</v>
      </c>
      <c r="AI182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  <c r="AK182" s="101">
        <v>1.7000000000000001E-2</v>
      </c>
      <c r="AL182" s="102"/>
    </row>
    <row r="183" spans="1:38" x14ac:dyDescent="0.55000000000000004">
      <c r="A183" t="s">
        <v>454</v>
      </c>
      <c r="B183" t="s">
        <v>215</v>
      </c>
      <c r="C183" t="s">
        <v>405</v>
      </c>
      <c r="D183" s="58">
        <f>_xlfn.XLOOKUP($B183, 'Prioritization calculation'!D:D, 'Prioritization calculation'!X:X, "")</f>
        <v>3</v>
      </c>
      <c r="E183" s="58">
        <v>3</v>
      </c>
      <c r="F183" s="58">
        <v>3</v>
      </c>
      <c r="G183" s="58" t="s">
        <v>572</v>
      </c>
      <c r="H183" s="58">
        <v>6433</v>
      </c>
      <c r="I183" s="58">
        <v>645</v>
      </c>
      <c r="J183" s="58">
        <v>0</v>
      </c>
      <c r="K183" s="58"/>
      <c r="L183" s="58">
        <v>0</v>
      </c>
      <c r="M183" s="58">
        <v>3335</v>
      </c>
      <c r="N183" s="58">
        <v>359.00543778801841</v>
      </c>
      <c r="O183" s="97">
        <f>SUM(Table24[[#This Row],[SHL_PIN_IDPs]:[SHL_PIN_NDP]])</f>
        <v>10689</v>
      </c>
      <c r="P183" s="98">
        <v>2885</v>
      </c>
      <c r="Q183" s="98">
        <v>1505</v>
      </c>
      <c r="R183" s="98">
        <v>6299</v>
      </c>
      <c r="S183" s="98">
        <f>ROUND(SUM(Table24[[#This Row],[SHL_TAR_IDPs]:[SHL_TAR_NDP]]),0)</f>
        <v>4300</v>
      </c>
      <c r="T183" s="100">
        <f>SUM(Table24[[#This Row],[HIDE IDP]:[HIDE NDP]])</f>
        <v>1447.8</v>
      </c>
      <c r="U183" s="100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577</v>
      </c>
      <c r="V183" s="100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240.8</v>
      </c>
      <c r="W183" s="100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630</v>
      </c>
      <c r="X183" s="98">
        <v>2300</v>
      </c>
      <c r="Y183" s="98">
        <v>1000</v>
      </c>
      <c r="Z183" s="98">
        <v>1000</v>
      </c>
      <c r="AA183" s="49">
        <f>ROUND($P$8*(Table24[[#This Row],[SHL_TAR_IDPs]]*$AA$3+Table24[[#This Row],[SHL_TAR_HC]]*$AA$4+Table24[[#This Row],[SHL_TAR_NDP]]*$AA$5)/$AA$18,0)</f>
        <v>366</v>
      </c>
      <c r="AB183" s="49">
        <f>ROUND($P$8*(Table24[[#This Row],[SHL_TAR_IDPs]]*$AB$3+Table24[[#This Row],[SHL_TAR_HC]]*$AB$4+Table24[[#This Row],[SHL_TAR_NDP]]*$AB$5)/$AB$18,0)</f>
        <v>366</v>
      </c>
      <c r="AC183" s="49">
        <f>ROUND($Q$8*(Table24[[#This Row],[SHL_TAR_IDPs]]*$AC$3+Table24[[#This Row],[SHL_TAR_HC]]*$AC$4+Table24[[#This Row],[SHL_TAR_NDP]]*$AC$5)/$AC$18,0)</f>
        <v>23</v>
      </c>
      <c r="AD183" s="49">
        <f>ROUND($Q$8*(Table24[[#This Row],[SHL_TAR_IDPs]]*$AD$3+Table24[[#This Row],[SHL_TAR_HC]]*$AD$4+Table24[[#This Row],[SHL_TAR_NDP]]*$AD$5)/$AD$18,0)</f>
        <v>23</v>
      </c>
      <c r="AE183" s="49">
        <f>ROUND($Q$8*(Table24[[#This Row],[SHL_TAR_IDPs]]*$AE$3+Table24[[#This Row],[SHL_TAR_HC]]*$AE$4+Table24[[#This Row],[SHL_TAR_NDP]]*$AE$5)/$AE$18,0)</f>
        <v>43</v>
      </c>
      <c r="AF183" s="49">
        <f>ROUND($Q$8*(Table24[[#This Row],[SHL_TAR_IDPs]]*$AF$3+Table24[[#This Row],[SHL_TAR_HC]]*$AF$4+Table24[[#This Row],[SHL_TAR_NDP]]*$AF$5)/$AF$18,0)</f>
        <v>86</v>
      </c>
      <c r="AG183" s="49">
        <f>ROUND($Q$8*(Table24[[#This Row],[SHL_TAR_IDPs]]*$AG$3+Table24[[#This Row],[SHL_TAR_HC]]*$AG$4+Table24[[#This Row],[SHL_TAR_NDP]]*$AG$5)/$AG$18,0)</f>
        <v>199</v>
      </c>
      <c r="AH183" s="49">
        <f>ROUND($Q$8*(Table24[[#This Row],[SHL_TAR_IDPs]]*$AH$3+Table24[[#This Row],[SHL_TAR_HC]]*$AH$4+Table24[[#This Row],[SHL_TAR_NDP]]*$AH$5)/$AH$18,0)</f>
        <v>56</v>
      </c>
      <c r="AI183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  <c r="AK183" s="101">
        <v>4.7E-2</v>
      </c>
      <c r="AL183" s="102"/>
    </row>
    <row r="184" spans="1:38" x14ac:dyDescent="0.55000000000000004">
      <c r="A184" t="s">
        <v>454</v>
      </c>
      <c r="B184" t="s">
        <v>216</v>
      </c>
      <c r="C184" t="s">
        <v>406</v>
      </c>
      <c r="D184" s="58">
        <f>_xlfn.XLOOKUP($B184, 'Prioritization calculation'!D:D, 'Prioritization calculation'!X:X, "")</f>
        <v>5</v>
      </c>
      <c r="E184" s="58">
        <v>3</v>
      </c>
      <c r="F184" s="58">
        <v>5</v>
      </c>
      <c r="G184" s="58" t="s">
        <v>572</v>
      </c>
      <c r="H184" s="58">
        <v>0</v>
      </c>
      <c r="I184" s="58">
        <v>0</v>
      </c>
      <c r="J184" s="58">
        <v>0</v>
      </c>
      <c r="K184" s="58"/>
      <c r="L184" s="58">
        <v>0</v>
      </c>
      <c r="M184" s="58">
        <v>0</v>
      </c>
      <c r="N184" s="58">
        <v>0</v>
      </c>
      <c r="O184" s="97">
        <f>SUM(Table24[[#This Row],[SHL_PIN_IDPs]:[SHL_PIN_NDP]])</f>
        <v>25027</v>
      </c>
      <c r="P184" s="98">
        <v>0</v>
      </c>
      <c r="Q184" s="98">
        <v>0</v>
      </c>
      <c r="R184" s="98">
        <v>25027</v>
      </c>
      <c r="S184" s="98">
        <f>ROUND(SUM(Table24[[#This Row],[SHL_TAR_IDPs]:[SHL_TAR_NDP]]),0)</f>
        <v>0</v>
      </c>
      <c r="T184" s="48">
        <f>SUM(Table24[[#This Row],[HIDE IDP]:[HIDE NDP]])</f>
        <v>625.5</v>
      </c>
      <c r="U184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0</v>
      </c>
      <c r="V184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0</v>
      </c>
      <c r="W184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625.5</v>
      </c>
      <c r="X184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0</v>
      </c>
      <c r="Y184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0</v>
      </c>
      <c r="Z184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184" s="49">
        <f>ROUND($P$8*(Table24[[#This Row],[SHL_TAR_IDPs]]*$AA$3+Table24[[#This Row],[SHL_TAR_HC]]*$AA$4+Table24[[#This Row],[SHL_TAR_NDP]]*$AA$5)/$AA$18,0)</f>
        <v>0</v>
      </c>
      <c r="AB184" s="49">
        <f>ROUND($P$8*(Table24[[#This Row],[SHL_TAR_IDPs]]*$AB$3+Table24[[#This Row],[SHL_TAR_HC]]*$AB$4+Table24[[#This Row],[SHL_TAR_NDP]]*$AB$5)/$AB$18,0)</f>
        <v>0</v>
      </c>
      <c r="AC184" s="49">
        <f>ROUND($Q$8*(Table24[[#This Row],[SHL_TAR_IDPs]]*$AC$3+Table24[[#This Row],[SHL_TAR_HC]]*$AC$4+Table24[[#This Row],[SHL_TAR_NDP]]*$AC$5)/$AC$18,0)</f>
        <v>0</v>
      </c>
      <c r="AD184" s="49">
        <f>ROUND($Q$8*(Table24[[#This Row],[SHL_TAR_IDPs]]*$AD$3+Table24[[#This Row],[SHL_TAR_HC]]*$AD$4+Table24[[#This Row],[SHL_TAR_NDP]]*$AD$5)/$AD$18,0)</f>
        <v>0</v>
      </c>
      <c r="AE184" s="49">
        <f>ROUND($Q$8*(Table24[[#This Row],[SHL_TAR_IDPs]]*$AE$3+Table24[[#This Row],[SHL_TAR_HC]]*$AE$4+Table24[[#This Row],[SHL_TAR_NDP]]*$AE$5)/$AE$18,0)</f>
        <v>0</v>
      </c>
      <c r="AF184" s="49">
        <f>ROUND($Q$8*(Table24[[#This Row],[SHL_TAR_IDPs]]*$AF$3+Table24[[#This Row],[SHL_TAR_HC]]*$AF$4+Table24[[#This Row],[SHL_TAR_NDP]]*$AF$5)/$AF$18,0)</f>
        <v>0</v>
      </c>
      <c r="AG184" s="49">
        <f>ROUND($Q$8*(Table24[[#This Row],[SHL_TAR_IDPs]]*$AG$3+Table24[[#This Row],[SHL_TAR_HC]]*$AG$4+Table24[[#This Row],[SHL_TAR_NDP]]*$AG$5)/$AG$18,0)</f>
        <v>0</v>
      </c>
      <c r="AH184" s="49">
        <f>ROUND($Q$8*(Table24[[#This Row],[SHL_TAR_IDPs]]*$AH$3+Table24[[#This Row],[SHL_TAR_HC]]*$AH$4+Table24[[#This Row],[SHL_TAR_NDP]]*$AH$5)/$AH$18,0)</f>
        <v>0</v>
      </c>
      <c r="AI184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  <c r="AK184" s="101">
        <v>2.5000000000000001E-2</v>
      </c>
      <c r="AL184" s="102"/>
    </row>
    <row r="185" spans="1:38" x14ac:dyDescent="0.55000000000000004">
      <c r="A185" t="s">
        <v>454</v>
      </c>
      <c r="B185" t="s">
        <v>217</v>
      </c>
      <c r="C185" t="s">
        <v>407</v>
      </c>
      <c r="D185" s="58">
        <f>_xlfn.XLOOKUP($B185, 'Prioritization calculation'!D:D, 'Prioritization calculation'!X:X, "")</f>
        <v>3</v>
      </c>
      <c r="E185" s="58">
        <v>5</v>
      </c>
      <c r="F185" s="58">
        <v>3</v>
      </c>
      <c r="G185" s="58" t="s">
        <v>572</v>
      </c>
      <c r="H185" s="58">
        <v>8672</v>
      </c>
      <c r="I185" s="58">
        <v>23775</v>
      </c>
      <c r="J185" s="58">
        <v>1810</v>
      </c>
      <c r="K185" s="58"/>
      <c r="L185" s="58">
        <v>0</v>
      </c>
      <c r="M185" s="58">
        <v>50143</v>
      </c>
      <c r="N185" s="58">
        <v>13177.46171260693</v>
      </c>
      <c r="O185" s="97">
        <f>SUM(Table24[[#This Row],[SHL_PIN_IDPs]:[SHL_PIN_NDP]])</f>
        <v>90682</v>
      </c>
      <c r="P185" s="98">
        <v>58193</v>
      </c>
      <c r="Q185" s="98">
        <v>22511</v>
      </c>
      <c r="R185" s="98">
        <v>9978</v>
      </c>
      <c r="S185" s="98">
        <f>ROUND(SUM(Table24[[#This Row],[SHL_TAR_IDPs]:[SHL_TAR_NDP]]),0)</f>
        <v>48715</v>
      </c>
      <c r="T185" s="48">
        <f>SUM(Table24[[#This Row],[HIDE IDP]:[HIDE NDP]])</f>
        <v>48715.1</v>
      </c>
      <c r="U185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34916</v>
      </c>
      <c r="V185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10805.6</v>
      </c>
      <c r="W185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2993.5</v>
      </c>
      <c r="X185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34916</v>
      </c>
      <c r="Y185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10805.6</v>
      </c>
      <c r="Z185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2993.5</v>
      </c>
      <c r="AA185" s="49">
        <f>ROUND($P$8*(Table24[[#This Row],[SHL_TAR_IDPs]]*$AA$3+Table24[[#This Row],[SHL_TAR_HC]]*$AA$4+Table24[[#This Row],[SHL_TAR_NDP]]*$AA$5)/$AA$18,0)</f>
        <v>4141</v>
      </c>
      <c r="AB185" s="49">
        <f>ROUND($P$8*(Table24[[#This Row],[SHL_TAR_IDPs]]*$AB$3+Table24[[#This Row],[SHL_TAR_HC]]*$AB$4+Table24[[#This Row],[SHL_TAR_NDP]]*$AB$5)/$AB$18,0)</f>
        <v>4141</v>
      </c>
      <c r="AC185" s="49">
        <f>ROUND($Q$8*(Table24[[#This Row],[SHL_TAR_IDPs]]*$AC$3+Table24[[#This Row],[SHL_TAR_HC]]*$AC$4+Table24[[#This Row],[SHL_TAR_NDP]]*$AC$5)/$AC$18,0)</f>
        <v>349</v>
      </c>
      <c r="AD185" s="49">
        <f>ROUND($Q$8*(Table24[[#This Row],[SHL_TAR_IDPs]]*$AD$3+Table24[[#This Row],[SHL_TAR_HC]]*$AD$4+Table24[[#This Row],[SHL_TAR_NDP]]*$AD$5)/$AD$18,0)</f>
        <v>349</v>
      </c>
      <c r="AE185" s="49">
        <f>ROUND($Q$8*(Table24[[#This Row],[SHL_TAR_IDPs]]*$AE$3+Table24[[#This Row],[SHL_TAR_HC]]*$AE$4+Table24[[#This Row],[SHL_TAR_NDP]]*$AE$5)/$AE$18,0)</f>
        <v>487</v>
      </c>
      <c r="AF185" s="49">
        <f>ROUND($Q$8*(Table24[[#This Row],[SHL_TAR_IDPs]]*$AF$3+Table24[[#This Row],[SHL_TAR_HC]]*$AF$4+Table24[[#This Row],[SHL_TAR_NDP]]*$AF$5)/$AF$18,0)</f>
        <v>974</v>
      </c>
      <c r="AG185" s="49">
        <f>ROUND($Q$8*(Table24[[#This Row],[SHL_TAR_IDPs]]*$AG$3+Table24[[#This Row],[SHL_TAR_HC]]*$AG$4+Table24[[#This Row],[SHL_TAR_NDP]]*$AG$5)/$AG$18,0)</f>
        <v>1905</v>
      </c>
      <c r="AH185" s="49">
        <f>ROUND($Q$8*(Table24[[#This Row],[SHL_TAR_IDPs]]*$AH$3+Table24[[#This Row],[SHL_TAR_HC]]*$AH$4+Table24[[#This Row],[SHL_TAR_NDP]]*$AH$5)/$AH$18,0)</f>
        <v>806</v>
      </c>
      <c r="AI185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  <c r="AK185" s="101">
        <v>4.3999999999999997E-2</v>
      </c>
      <c r="AL185" s="102"/>
    </row>
    <row r="186" spans="1:38" x14ac:dyDescent="0.55000000000000004">
      <c r="A186" t="s">
        <v>454</v>
      </c>
      <c r="B186" t="s">
        <v>218</v>
      </c>
      <c r="C186" t="s">
        <v>408</v>
      </c>
      <c r="D186" s="58">
        <f>_xlfn.XLOOKUP($B186, 'Prioritization calculation'!D:D, 'Prioritization calculation'!X:X, "")</f>
        <v>3</v>
      </c>
      <c r="E186" s="58">
        <v>3</v>
      </c>
      <c r="F186" s="58">
        <v>3</v>
      </c>
      <c r="G186" s="58" t="s">
        <v>521</v>
      </c>
      <c r="H186" s="58">
        <v>2013</v>
      </c>
      <c r="I186" s="58">
        <v>0</v>
      </c>
      <c r="J186" s="58">
        <v>0</v>
      </c>
      <c r="K186" s="58"/>
      <c r="L186" s="58">
        <v>0</v>
      </c>
      <c r="M186" s="58">
        <v>7540</v>
      </c>
      <c r="N186" s="58">
        <v>3321.703125</v>
      </c>
      <c r="O186" s="97">
        <f>SUM(Table24[[#This Row],[SHL_PIN_IDPs]:[SHL_PIN_NDP]])</f>
        <v>6541</v>
      </c>
      <c r="P186" s="98">
        <v>6541</v>
      </c>
      <c r="Q186" s="98">
        <v>0</v>
      </c>
      <c r="R186" s="98">
        <v>0</v>
      </c>
      <c r="S186" s="98">
        <f>ROUND(SUM(Table24[[#This Row],[SHL_TAR_IDPs]:[SHL_TAR_NDP]]),0)</f>
        <v>4500</v>
      </c>
      <c r="T186" s="100">
        <f>SUM(Table24[[#This Row],[HIDE IDP]:[HIDE NDP]])</f>
        <v>1308</v>
      </c>
      <c r="U186" s="100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1308</v>
      </c>
      <c r="V186" s="100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0</v>
      </c>
      <c r="W186" s="100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0</v>
      </c>
      <c r="X186" s="98">
        <f>100000*AK186</f>
        <v>4500</v>
      </c>
      <c r="Y186" s="9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0</v>
      </c>
      <c r="Z186" s="9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186" s="49">
        <f>ROUND($P$8*(Table24[[#This Row],[SHL_TAR_IDPs]]*$AA$3+Table24[[#This Row],[SHL_TAR_HC]]*$AA$4+Table24[[#This Row],[SHL_TAR_NDP]]*$AA$5)/$AA$18,0)</f>
        <v>383</v>
      </c>
      <c r="AB186" s="49">
        <f>ROUND($P$8*(Table24[[#This Row],[SHL_TAR_IDPs]]*$AB$3+Table24[[#This Row],[SHL_TAR_HC]]*$AB$4+Table24[[#This Row],[SHL_TAR_NDP]]*$AB$5)/$AB$18,0)</f>
        <v>383</v>
      </c>
      <c r="AC186" s="49">
        <f>ROUND($Q$8*(Table24[[#This Row],[SHL_TAR_IDPs]]*$AC$3+Table24[[#This Row],[SHL_TAR_HC]]*$AC$4+Table24[[#This Row],[SHL_TAR_NDP]]*$AC$5)/$AC$18,0)</f>
        <v>45</v>
      </c>
      <c r="AD186" s="49">
        <f>ROUND($Q$8*(Table24[[#This Row],[SHL_TAR_IDPs]]*$AD$3+Table24[[#This Row],[SHL_TAR_HC]]*$AD$4+Table24[[#This Row],[SHL_TAR_NDP]]*$AD$5)/$AD$18,0)</f>
        <v>45</v>
      </c>
      <c r="AE186" s="49">
        <f>ROUND($Q$8*(Table24[[#This Row],[SHL_TAR_IDPs]]*$AE$3+Table24[[#This Row],[SHL_TAR_HC]]*$AE$4+Table24[[#This Row],[SHL_TAR_NDP]]*$AE$5)/$AE$18,0)</f>
        <v>45</v>
      </c>
      <c r="AF186" s="49">
        <f>ROUND($Q$8*(Table24[[#This Row],[SHL_TAR_IDPs]]*$AF$3+Table24[[#This Row],[SHL_TAR_HC]]*$AF$4+Table24[[#This Row],[SHL_TAR_NDP]]*$AF$5)/$AF$18,0)</f>
        <v>90</v>
      </c>
      <c r="AG186" s="49">
        <f>ROUND($Q$8*(Table24[[#This Row],[SHL_TAR_IDPs]]*$AG$3+Table24[[#This Row],[SHL_TAR_HC]]*$AG$4+Table24[[#This Row],[SHL_TAR_NDP]]*$AG$5)/$AG$18,0)</f>
        <v>135</v>
      </c>
      <c r="AH186" s="49">
        <f>ROUND($Q$8*(Table24[[#This Row],[SHL_TAR_IDPs]]*$AH$3+Table24[[#This Row],[SHL_TAR_HC]]*$AH$4+Table24[[#This Row],[SHL_TAR_NDP]]*$AH$5)/$AH$18,0)</f>
        <v>90</v>
      </c>
      <c r="AI186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  <c r="AK186" s="101">
        <v>4.4999999999999998E-2</v>
      </c>
      <c r="AL186" s="102"/>
    </row>
    <row r="187" spans="1:38" x14ac:dyDescent="0.55000000000000004">
      <c r="A187" t="s">
        <v>454</v>
      </c>
      <c r="B187" t="s">
        <v>219</v>
      </c>
      <c r="C187" t="s">
        <v>409</v>
      </c>
      <c r="D187" s="58">
        <f>_xlfn.XLOOKUP($B187, 'Prioritization calculation'!D:D, 'Prioritization calculation'!X:X, "")</f>
        <v>4</v>
      </c>
      <c r="E187" s="58">
        <v>2</v>
      </c>
      <c r="F187" s="58">
        <v>4</v>
      </c>
      <c r="G187" s="58" t="s">
        <v>572</v>
      </c>
      <c r="H187" s="58">
        <v>0</v>
      </c>
      <c r="I187" s="58">
        <v>0</v>
      </c>
      <c r="J187" s="58">
        <v>0</v>
      </c>
      <c r="K187" s="58"/>
      <c r="L187" s="58">
        <v>0</v>
      </c>
      <c r="M187" s="58">
        <v>0</v>
      </c>
      <c r="N187" s="58">
        <v>0</v>
      </c>
      <c r="O187" s="97">
        <f>SUM(Table24[[#This Row],[SHL_PIN_IDPs]:[SHL_PIN_NDP]])</f>
        <v>0</v>
      </c>
      <c r="P187" s="98">
        <v>0</v>
      </c>
      <c r="Q187" s="98">
        <v>0</v>
      </c>
      <c r="R187" s="98">
        <v>0</v>
      </c>
      <c r="S187" s="98">
        <f>ROUND(SUM(Table24[[#This Row],[SHL_TAR_IDPs]:[SHL_TAR_NDP]]),0)</f>
        <v>0</v>
      </c>
      <c r="T187" s="48">
        <f>SUM(Table24[[#This Row],[HIDE IDP]:[HIDE NDP]])</f>
        <v>0</v>
      </c>
      <c r="U187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0</v>
      </c>
      <c r="V187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0</v>
      </c>
      <c r="W187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0</v>
      </c>
      <c r="X187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0</v>
      </c>
      <c r="Y187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0</v>
      </c>
      <c r="Z187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187" s="49">
        <f>ROUND($P$8*(Table24[[#This Row],[SHL_TAR_IDPs]]*$AA$3+Table24[[#This Row],[SHL_TAR_HC]]*$AA$4+Table24[[#This Row],[SHL_TAR_NDP]]*$AA$5)/$AA$18,0)</f>
        <v>0</v>
      </c>
      <c r="AB187" s="49">
        <f>ROUND($P$8*(Table24[[#This Row],[SHL_TAR_IDPs]]*$AB$3+Table24[[#This Row],[SHL_TAR_HC]]*$AB$4+Table24[[#This Row],[SHL_TAR_NDP]]*$AB$5)/$AB$18,0)</f>
        <v>0</v>
      </c>
      <c r="AC187" s="49">
        <f>ROUND($Q$8*(Table24[[#This Row],[SHL_TAR_IDPs]]*$AC$3+Table24[[#This Row],[SHL_TAR_HC]]*$AC$4+Table24[[#This Row],[SHL_TAR_NDP]]*$AC$5)/$AC$18,0)</f>
        <v>0</v>
      </c>
      <c r="AD187" s="49">
        <f>ROUND($Q$8*(Table24[[#This Row],[SHL_TAR_IDPs]]*$AD$3+Table24[[#This Row],[SHL_TAR_HC]]*$AD$4+Table24[[#This Row],[SHL_TAR_NDP]]*$AD$5)/$AD$18,0)</f>
        <v>0</v>
      </c>
      <c r="AE187" s="49">
        <f>ROUND($Q$8*(Table24[[#This Row],[SHL_TAR_IDPs]]*$AE$3+Table24[[#This Row],[SHL_TAR_HC]]*$AE$4+Table24[[#This Row],[SHL_TAR_NDP]]*$AE$5)/$AE$18,0)</f>
        <v>0</v>
      </c>
      <c r="AF187" s="49">
        <f>ROUND($Q$8*(Table24[[#This Row],[SHL_TAR_IDPs]]*$AF$3+Table24[[#This Row],[SHL_TAR_HC]]*$AF$4+Table24[[#This Row],[SHL_TAR_NDP]]*$AF$5)/$AF$18,0)</f>
        <v>0</v>
      </c>
      <c r="AG187" s="49">
        <f>ROUND($Q$8*(Table24[[#This Row],[SHL_TAR_IDPs]]*$AG$3+Table24[[#This Row],[SHL_TAR_HC]]*$AG$4+Table24[[#This Row],[SHL_TAR_NDP]]*$AG$5)/$AG$18,0)</f>
        <v>0</v>
      </c>
      <c r="AH187" s="49">
        <f>ROUND($Q$8*(Table24[[#This Row],[SHL_TAR_IDPs]]*$AH$3+Table24[[#This Row],[SHL_TAR_HC]]*$AH$4+Table24[[#This Row],[SHL_TAR_NDP]]*$AH$5)/$AH$18,0)</f>
        <v>0</v>
      </c>
      <c r="AI187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  <c r="AK187" s="101">
        <v>2.1999999999999999E-2</v>
      </c>
      <c r="AL187" s="102"/>
    </row>
    <row r="188" spans="1:38" x14ac:dyDescent="0.55000000000000004">
      <c r="A188" t="s">
        <v>455</v>
      </c>
      <c r="B188" t="s">
        <v>220</v>
      </c>
      <c r="C188" t="s">
        <v>410</v>
      </c>
      <c r="D188" s="58">
        <f>_xlfn.XLOOKUP($B188, 'Prioritization calculation'!D:D, 'Prioritization calculation'!X:X, "")</f>
        <v>4</v>
      </c>
      <c r="E188" s="58">
        <v>5</v>
      </c>
      <c r="F188" s="58">
        <v>4</v>
      </c>
      <c r="G188" s="58" t="s">
        <v>573</v>
      </c>
      <c r="H188" s="58">
        <v>10250</v>
      </c>
      <c r="I188" s="58">
        <v>329345</v>
      </c>
      <c r="J188" s="58">
        <v>23100</v>
      </c>
      <c r="K188" s="58"/>
      <c r="L188" s="58">
        <v>34090</v>
      </c>
      <c r="M188" s="58">
        <v>44545</v>
      </c>
      <c r="N188" s="58">
        <v>5457.1201153131133</v>
      </c>
      <c r="O188" s="97">
        <f>SUM(Table24[[#This Row],[SHL_PIN_IDPs]:[SHL_PIN_NDP]])</f>
        <v>153866</v>
      </c>
      <c r="P188" s="98">
        <v>12870</v>
      </c>
      <c r="Q188" s="98">
        <v>3293</v>
      </c>
      <c r="R188" s="98">
        <v>137703</v>
      </c>
      <c r="S188" s="98">
        <f>ROUND(SUM(Table24[[#This Row],[SHL_TAR_IDPs]:[SHL_TAR_NDP]]),0)</f>
        <v>33742</v>
      </c>
      <c r="T188" s="48">
        <f>SUM(Table24[[#This Row],[HIDE IDP]:[HIDE NDP]])</f>
        <v>33742.1</v>
      </c>
      <c r="U188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5148</v>
      </c>
      <c r="V188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1053.6000000000001</v>
      </c>
      <c r="W188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27540.5</v>
      </c>
      <c r="X188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5148</v>
      </c>
      <c r="Y188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1053.6000000000001</v>
      </c>
      <c r="Z188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27540.5</v>
      </c>
      <c r="AA188" s="49">
        <f>ROUND($P$8*(Table24[[#This Row],[SHL_TAR_IDPs]]*$AA$3+Table24[[#This Row],[SHL_TAR_HC]]*$AA$4+Table24[[#This Row],[SHL_TAR_NDP]]*$AA$5)/$AA$18,0)</f>
        <v>2868</v>
      </c>
      <c r="AB188" s="49">
        <f>ROUND($P$8*(Table24[[#This Row],[SHL_TAR_IDPs]]*$AB$3+Table24[[#This Row],[SHL_TAR_HC]]*$AB$4+Table24[[#This Row],[SHL_TAR_NDP]]*$AB$5)/$AB$18,0)</f>
        <v>2868</v>
      </c>
      <c r="AC188" s="49">
        <f>ROUND($Q$8*(Table24[[#This Row],[SHL_TAR_IDPs]]*$AC$3+Table24[[#This Row],[SHL_TAR_HC]]*$AC$4+Table24[[#This Row],[SHL_TAR_NDP]]*$AC$5)/$AC$18,0)</f>
        <v>51</v>
      </c>
      <c r="AD188" s="49">
        <f>ROUND($Q$8*(Table24[[#This Row],[SHL_TAR_IDPs]]*$AD$3+Table24[[#This Row],[SHL_TAR_HC]]*$AD$4+Table24[[#This Row],[SHL_TAR_NDP]]*$AD$5)/$AD$18,0)</f>
        <v>51</v>
      </c>
      <c r="AE188" s="49">
        <f>ROUND($Q$8*(Table24[[#This Row],[SHL_TAR_IDPs]]*$AE$3+Table24[[#This Row],[SHL_TAR_HC]]*$AE$4+Table24[[#This Row],[SHL_TAR_NDP]]*$AE$5)/$AE$18,0)</f>
        <v>337</v>
      </c>
      <c r="AF188" s="49">
        <f>ROUND($Q$8*(Table24[[#This Row],[SHL_TAR_IDPs]]*$AF$3+Table24[[#This Row],[SHL_TAR_HC]]*$AF$4+Table24[[#This Row],[SHL_TAR_NDP]]*$AF$5)/$AF$18,0)</f>
        <v>675</v>
      </c>
      <c r="AG188" s="49">
        <f>ROUND($Q$8*(Table24[[#This Row],[SHL_TAR_IDPs]]*$AG$3+Table24[[#This Row],[SHL_TAR_HC]]*$AG$4+Table24[[#This Row],[SHL_TAR_NDP]]*$AG$5)/$AG$18,0)</f>
        <v>2145</v>
      </c>
      <c r="AH188" s="49">
        <f>ROUND($Q$8*(Table24[[#This Row],[SHL_TAR_IDPs]]*$AH$3+Table24[[#This Row],[SHL_TAR_HC]]*$AH$4+Table24[[#This Row],[SHL_TAR_NDP]]*$AH$5)/$AH$18,0)</f>
        <v>113</v>
      </c>
      <c r="AI188" s="49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>194</v>
      </c>
      <c r="AK188" s="101">
        <v>0</v>
      </c>
      <c r="AL188" s="102"/>
    </row>
    <row r="189" spans="1:38" x14ac:dyDescent="0.55000000000000004">
      <c r="A189" t="s">
        <v>455</v>
      </c>
      <c r="B189" t="s">
        <v>221</v>
      </c>
      <c r="C189" t="s">
        <v>411</v>
      </c>
      <c r="D189" s="58">
        <f>_xlfn.XLOOKUP($B189, 'Prioritization calculation'!D:D, 'Prioritization calculation'!X:X, "")</f>
        <v>3</v>
      </c>
      <c r="E189" s="58">
        <v>4</v>
      </c>
      <c r="F189" s="58">
        <v>5</v>
      </c>
      <c r="G189" s="58" t="s">
        <v>572</v>
      </c>
      <c r="H189" s="58">
        <v>0</v>
      </c>
      <c r="I189" s="58">
        <v>2705</v>
      </c>
      <c r="J189" s="58">
        <v>0</v>
      </c>
      <c r="K189" s="58"/>
      <c r="L189" s="58">
        <v>0</v>
      </c>
      <c r="M189" s="58">
        <v>11946</v>
      </c>
      <c r="N189" s="58">
        <v>4094.3919321567728</v>
      </c>
      <c r="O189" s="97">
        <f>SUM(Table24[[#This Row],[SHL_PIN_IDPs]:[SHL_PIN_NDP]])</f>
        <v>43729</v>
      </c>
      <c r="P189" s="98">
        <v>15389</v>
      </c>
      <c r="Q189" s="98">
        <v>5130</v>
      </c>
      <c r="R189" s="98">
        <v>23210</v>
      </c>
      <c r="S189" s="98">
        <f>ROUND(SUM(Table24[[#This Row],[SHL_TAR_IDPs]:[SHL_TAR_NDP]]),0)</f>
        <v>12440</v>
      </c>
      <c r="T189" s="48">
        <f>SUM(Table24[[#This Row],[HIDE IDP]:[HIDE NDP]])</f>
        <v>12439.6</v>
      </c>
      <c r="U189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6156</v>
      </c>
      <c r="V189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1641.6000000000001</v>
      </c>
      <c r="W189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4642</v>
      </c>
      <c r="X189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6156</v>
      </c>
      <c r="Y189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1641.6000000000001</v>
      </c>
      <c r="Z189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4642</v>
      </c>
      <c r="AA189" s="49">
        <f>ROUND($P$8*(Table24[[#This Row],[SHL_TAR_IDPs]]*$AA$3+Table24[[#This Row],[SHL_TAR_HC]]*$AA$4+Table24[[#This Row],[SHL_TAR_NDP]]*$AA$5)/$AA$18,0)</f>
        <v>1057</v>
      </c>
      <c r="AB189" s="49">
        <f>ROUND($P$8*(Table24[[#This Row],[SHL_TAR_IDPs]]*$AB$3+Table24[[#This Row],[SHL_TAR_HC]]*$AB$4+Table24[[#This Row],[SHL_TAR_NDP]]*$AB$5)/$AB$18,0)</f>
        <v>1057</v>
      </c>
      <c r="AC189" s="49">
        <f>ROUND($Q$8*(Table24[[#This Row],[SHL_TAR_IDPs]]*$AC$3+Table24[[#This Row],[SHL_TAR_HC]]*$AC$4+Table24[[#This Row],[SHL_TAR_NDP]]*$AC$5)/$AC$18,0)</f>
        <v>62</v>
      </c>
      <c r="AD189" s="49">
        <f>ROUND($Q$8*(Table24[[#This Row],[SHL_TAR_IDPs]]*$AD$3+Table24[[#This Row],[SHL_TAR_HC]]*$AD$4+Table24[[#This Row],[SHL_TAR_NDP]]*$AD$5)/$AD$18,0)</f>
        <v>62</v>
      </c>
      <c r="AE189" s="49">
        <f>ROUND($Q$8*(Table24[[#This Row],[SHL_TAR_IDPs]]*$AE$3+Table24[[#This Row],[SHL_TAR_HC]]*$AE$4+Table24[[#This Row],[SHL_TAR_NDP]]*$AE$5)/$AE$18,0)</f>
        <v>124</v>
      </c>
      <c r="AF189" s="49">
        <f>ROUND($Q$8*(Table24[[#This Row],[SHL_TAR_IDPs]]*$AF$3+Table24[[#This Row],[SHL_TAR_HC]]*$AF$4+Table24[[#This Row],[SHL_TAR_NDP]]*$AF$5)/$AF$18,0)</f>
        <v>249</v>
      </c>
      <c r="AG189" s="49">
        <f>ROUND($Q$8*(Table24[[#This Row],[SHL_TAR_IDPs]]*$AG$3+Table24[[#This Row],[SHL_TAR_HC]]*$AG$4+Table24[[#This Row],[SHL_TAR_NDP]]*$AG$5)/$AG$18,0)</f>
        <v>608</v>
      </c>
      <c r="AH189" s="49">
        <f>ROUND($Q$8*(Table24[[#This Row],[SHL_TAR_IDPs]]*$AH$3+Table24[[#This Row],[SHL_TAR_HC]]*$AH$4+Table24[[#This Row],[SHL_TAR_NDP]]*$AH$5)/$AH$18,0)</f>
        <v>140</v>
      </c>
      <c r="AI189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  <c r="AK189" s="101">
        <v>0.11899999999999999</v>
      </c>
      <c r="AL189" s="102"/>
    </row>
    <row r="190" spans="1:38" x14ac:dyDescent="0.55000000000000004">
      <c r="A190" t="s">
        <v>455</v>
      </c>
      <c r="B190" t="s">
        <v>222</v>
      </c>
      <c r="C190" t="s">
        <v>412</v>
      </c>
      <c r="D190" s="58">
        <f>_xlfn.XLOOKUP($B190, 'Prioritization calculation'!D:D, 'Prioritization calculation'!X:X, "")</f>
        <v>5</v>
      </c>
      <c r="E190" s="58">
        <v>4</v>
      </c>
      <c r="F190" s="58">
        <v>4</v>
      </c>
      <c r="G190" s="58" t="s">
        <v>572</v>
      </c>
      <c r="H190" s="58">
        <v>3650</v>
      </c>
      <c r="I190" s="58">
        <v>6170</v>
      </c>
      <c r="J190" s="58">
        <v>0</v>
      </c>
      <c r="K190" s="58"/>
      <c r="L190" s="58">
        <v>2520</v>
      </c>
      <c r="M190" s="58">
        <v>4110</v>
      </c>
      <c r="N190" s="58">
        <v>2490.6349206349205</v>
      </c>
      <c r="O190" s="97">
        <f>SUM(Table24[[#This Row],[SHL_PIN_IDPs]:[SHL_PIN_NDP]])</f>
        <v>16466</v>
      </c>
      <c r="P190" s="98">
        <v>4686</v>
      </c>
      <c r="Q190" s="98">
        <v>1562</v>
      </c>
      <c r="R190" s="98">
        <v>10218</v>
      </c>
      <c r="S190" s="98">
        <f>ROUND(SUM(Table24[[#This Row],[SHL_TAR_IDPs]:[SHL_TAR_NDP]]),0)</f>
        <v>4300</v>
      </c>
      <c r="T190" s="100">
        <f>SUM(Table24[[#This Row],[HIDE IDP]:[HIDE NDP]])</f>
        <v>1104.8</v>
      </c>
      <c r="U190" s="100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469</v>
      </c>
      <c r="V190" s="100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124.80000000000001</v>
      </c>
      <c r="W190" s="100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511</v>
      </c>
      <c r="X190" s="98">
        <f>100000*AK190</f>
        <v>4300</v>
      </c>
      <c r="Y190" s="9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0</v>
      </c>
      <c r="Z190" s="9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190" s="49">
        <f>ROUND($P$8*(Table24[[#This Row],[SHL_TAR_IDPs]]*$AA$3+Table24[[#This Row],[SHL_TAR_HC]]*$AA$4+Table24[[#This Row],[SHL_TAR_NDP]]*$AA$5)/$AA$18,0)</f>
        <v>366</v>
      </c>
      <c r="AB190" s="49">
        <f>ROUND($P$8*(Table24[[#This Row],[SHL_TAR_IDPs]]*$AB$3+Table24[[#This Row],[SHL_TAR_HC]]*$AB$4+Table24[[#This Row],[SHL_TAR_NDP]]*$AB$5)/$AB$18,0)</f>
        <v>366</v>
      </c>
      <c r="AC190" s="49">
        <f>ROUND($Q$8*(Table24[[#This Row],[SHL_TAR_IDPs]]*$AC$3+Table24[[#This Row],[SHL_TAR_HC]]*$AC$4+Table24[[#This Row],[SHL_TAR_NDP]]*$AC$5)/$AC$18,0)</f>
        <v>43</v>
      </c>
      <c r="AD190" s="49">
        <f>ROUND($Q$8*(Table24[[#This Row],[SHL_TAR_IDPs]]*$AD$3+Table24[[#This Row],[SHL_TAR_HC]]*$AD$4+Table24[[#This Row],[SHL_TAR_NDP]]*$AD$5)/$AD$18,0)</f>
        <v>43</v>
      </c>
      <c r="AE190" s="49">
        <f>ROUND($Q$8*(Table24[[#This Row],[SHL_TAR_IDPs]]*$AE$3+Table24[[#This Row],[SHL_TAR_HC]]*$AE$4+Table24[[#This Row],[SHL_TAR_NDP]]*$AE$5)/$AE$18,0)</f>
        <v>43</v>
      </c>
      <c r="AF190" s="49">
        <f>ROUND($Q$8*(Table24[[#This Row],[SHL_TAR_IDPs]]*$AF$3+Table24[[#This Row],[SHL_TAR_HC]]*$AF$4+Table24[[#This Row],[SHL_TAR_NDP]]*$AF$5)/$AF$18,0)</f>
        <v>86</v>
      </c>
      <c r="AG190" s="49">
        <f>ROUND($Q$8*(Table24[[#This Row],[SHL_TAR_IDPs]]*$AG$3+Table24[[#This Row],[SHL_TAR_HC]]*$AG$4+Table24[[#This Row],[SHL_TAR_NDP]]*$AG$5)/$AG$18,0)</f>
        <v>129</v>
      </c>
      <c r="AH190" s="49">
        <f>ROUND($Q$8*(Table24[[#This Row],[SHL_TAR_IDPs]]*$AH$3+Table24[[#This Row],[SHL_TAR_HC]]*$AH$4+Table24[[#This Row],[SHL_TAR_NDP]]*$AH$5)/$AH$18,0)</f>
        <v>86</v>
      </c>
      <c r="AI190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  <c r="AK190" s="101">
        <v>4.2999999999999997E-2</v>
      </c>
      <c r="AL190" s="102"/>
    </row>
    <row r="191" spans="1:38" x14ac:dyDescent="0.55000000000000004">
      <c r="A191" t="s">
        <v>455</v>
      </c>
      <c r="B191" t="s">
        <v>223</v>
      </c>
      <c r="C191" t="s">
        <v>413</v>
      </c>
      <c r="D191" s="58">
        <f>_xlfn.XLOOKUP($B191, 'Prioritization calculation'!D:D, 'Prioritization calculation'!X:X, "")</f>
        <v>5</v>
      </c>
      <c r="E191" s="58">
        <v>4</v>
      </c>
      <c r="F191" s="58">
        <v>4</v>
      </c>
      <c r="G191" s="58" t="s">
        <v>572</v>
      </c>
      <c r="H191" s="58">
        <v>0</v>
      </c>
      <c r="I191" s="58">
        <v>0</v>
      </c>
      <c r="J191" s="58">
        <v>0</v>
      </c>
      <c r="K191" s="58"/>
      <c r="L191" s="58">
        <v>0</v>
      </c>
      <c r="M191" s="58">
        <v>14413</v>
      </c>
      <c r="N191" s="58">
        <v>20283.5</v>
      </c>
      <c r="O191" s="97">
        <f>SUM(Table24[[#This Row],[SHL_PIN_IDPs]:[SHL_PIN_NDP]])</f>
        <v>39292</v>
      </c>
      <c r="P191" s="98">
        <v>24340</v>
      </c>
      <c r="Q191" s="98">
        <v>8124</v>
      </c>
      <c r="R191" s="98">
        <v>6828</v>
      </c>
      <c r="S191" s="98">
        <f>ROUND(SUM(Table24[[#This Row],[SHL_TAR_IDPs]:[SHL_TAR_NDP]]),0)</f>
        <v>3800</v>
      </c>
      <c r="T191" s="100">
        <f>SUM(Table24[[#This Row],[HIDE IDP]:[HIDE NDP]])</f>
        <v>3425.1</v>
      </c>
      <c r="U191" s="100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2434</v>
      </c>
      <c r="V191" s="100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649.6</v>
      </c>
      <c r="W191" s="100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341.5</v>
      </c>
      <c r="X191" s="98">
        <f>100000*AK191</f>
        <v>3800</v>
      </c>
      <c r="Y191" s="9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0</v>
      </c>
      <c r="Z191" s="9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191" s="49">
        <f>ROUND($P$8*(Table24[[#This Row],[SHL_TAR_IDPs]]*$AA$3+Table24[[#This Row],[SHL_TAR_HC]]*$AA$4+Table24[[#This Row],[SHL_TAR_NDP]]*$AA$5)/$AA$18,0)</f>
        <v>323</v>
      </c>
      <c r="AB191" s="49">
        <f>ROUND($P$8*(Table24[[#This Row],[SHL_TAR_IDPs]]*$AB$3+Table24[[#This Row],[SHL_TAR_HC]]*$AB$4+Table24[[#This Row],[SHL_TAR_NDP]]*$AB$5)/$AB$18,0)</f>
        <v>323</v>
      </c>
      <c r="AC191" s="49">
        <f>ROUND($Q$8*(Table24[[#This Row],[SHL_TAR_IDPs]]*$AC$3+Table24[[#This Row],[SHL_TAR_HC]]*$AC$4+Table24[[#This Row],[SHL_TAR_NDP]]*$AC$5)/$AC$18,0)</f>
        <v>38</v>
      </c>
      <c r="AD191" s="49">
        <f>ROUND($Q$8*(Table24[[#This Row],[SHL_TAR_IDPs]]*$AD$3+Table24[[#This Row],[SHL_TAR_HC]]*$AD$4+Table24[[#This Row],[SHL_TAR_NDP]]*$AD$5)/$AD$18,0)</f>
        <v>38</v>
      </c>
      <c r="AE191" s="49">
        <f>ROUND($Q$8*(Table24[[#This Row],[SHL_TAR_IDPs]]*$AE$3+Table24[[#This Row],[SHL_TAR_HC]]*$AE$4+Table24[[#This Row],[SHL_TAR_NDP]]*$AE$5)/$AE$18,0)</f>
        <v>38</v>
      </c>
      <c r="AF191" s="49">
        <f>ROUND($Q$8*(Table24[[#This Row],[SHL_TAR_IDPs]]*$AF$3+Table24[[#This Row],[SHL_TAR_HC]]*$AF$4+Table24[[#This Row],[SHL_TAR_NDP]]*$AF$5)/$AF$18,0)</f>
        <v>76</v>
      </c>
      <c r="AG191" s="49">
        <f>ROUND($Q$8*(Table24[[#This Row],[SHL_TAR_IDPs]]*$AG$3+Table24[[#This Row],[SHL_TAR_HC]]*$AG$4+Table24[[#This Row],[SHL_TAR_NDP]]*$AG$5)/$AG$18,0)</f>
        <v>114</v>
      </c>
      <c r="AH191" s="49">
        <f>ROUND($Q$8*(Table24[[#This Row],[SHL_TAR_IDPs]]*$AH$3+Table24[[#This Row],[SHL_TAR_HC]]*$AH$4+Table24[[#This Row],[SHL_TAR_NDP]]*$AH$5)/$AH$18,0)</f>
        <v>76</v>
      </c>
      <c r="AI191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  <c r="AK191" s="101">
        <v>3.7999999999999999E-2</v>
      </c>
      <c r="AL191" s="102"/>
    </row>
    <row r="192" spans="1:38" x14ac:dyDescent="0.55000000000000004">
      <c r="A192" t="s">
        <v>455</v>
      </c>
      <c r="B192" t="s">
        <v>224</v>
      </c>
      <c r="C192" t="s">
        <v>414</v>
      </c>
      <c r="D192" s="58">
        <f>_xlfn.XLOOKUP($B192, 'Prioritization calculation'!D:D, 'Prioritization calculation'!X:X, "")</f>
        <v>3</v>
      </c>
      <c r="E192" s="58">
        <v>4</v>
      </c>
      <c r="F192" s="58">
        <v>4</v>
      </c>
      <c r="G192" s="58" t="s">
        <v>572</v>
      </c>
      <c r="H192" s="58">
        <v>27785</v>
      </c>
      <c r="I192" s="58">
        <v>9760</v>
      </c>
      <c r="J192" s="58">
        <v>0</v>
      </c>
      <c r="K192" s="58"/>
      <c r="L192" s="58">
        <v>0</v>
      </c>
      <c r="M192" s="58">
        <v>16659</v>
      </c>
      <c r="N192" s="58">
        <v>1638.0249661312173</v>
      </c>
      <c r="O192" s="97">
        <f>SUM(Table24[[#This Row],[SHL_PIN_IDPs]:[SHL_PIN_NDP]])</f>
        <v>39246</v>
      </c>
      <c r="P192" s="98">
        <v>30777</v>
      </c>
      <c r="Q192" s="98">
        <v>2154</v>
      </c>
      <c r="R192" s="98">
        <v>6315</v>
      </c>
      <c r="S192" s="98">
        <f>ROUND(SUM(Table24[[#This Row],[SHL_TAR_IDPs]:[SHL_TAR_NDP]]),0)</f>
        <v>14264</v>
      </c>
      <c r="T192" s="48">
        <f>SUM(Table24[[#This Row],[HIDE IDP]:[HIDE NDP]])</f>
        <v>14263.6</v>
      </c>
      <c r="U192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12311</v>
      </c>
      <c r="V192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689.6</v>
      </c>
      <c r="W192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1263</v>
      </c>
      <c r="X192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12311</v>
      </c>
      <c r="Y192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689.6</v>
      </c>
      <c r="Z192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1263</v>
      </c>
      <c r="AA192" s="49">
        <f>ROUND($P$8*(Table24[[#This Row],[SHL_TAR_IDPs]]*$AA$3+Table24[[#This Row],[SHL_TAR_HC]]*$AA$4+Table24[[#This Row],[SHL_TAR_NDP]]*$AA$5)/$AA$18,0)</f>
        <v>1212</v>
      </c>
      <c r="AB192" s="49">
        <f>ROUND($P$8*(Table24[[#This Row],[SHL_TAR_IDPs]]*$AB$3+Table24[[#This Row],[SHL_TAR_HC]]*$AB$4+Table24[[#This Row],[SHL_TAR_NDP]]*$AB$5)/$AB$18,0)</f>
        <v>1212</v>
      </c>
      <c r="AC192" s="49">
        <f>ROUND($Q$8*(Table24[[#This Row],[SHL_TAR_IDPs]]*$AC$3+Table24[[#This Row],[SHL_TAR_HC]]*$AC$4+Table24[[#This Row],[SHL_TAR_NDP]]*$AC$5)/$AC$18,0)</f>
        <v>123</v>
      </c>
      <c r="AD192" s="49">
        <f>ROUND($Q$8*(Table24[[#This Row],[SHL_TAR_IDPs]]*$AD$3+Table24[[#This Row],[SHL_TAR_HC]]*$AD$4+Table24[[#This Row],[SHL_TAR_NDP]]*$AD$5)/$AD$18,0)</f>
        <v>123</v>
      </c>
      <c r="AE192" s="49">
        <f>ROUND($Q$8*(Table24[[#This Row],[SHL_TAR_IDPs]]*$AE$3+Table24[[#This Row],[SHL_TAR_HC]]*$AE$4+Table24[[#This Row],[SHL_TAR_NDP]]*$AE$5)/$AE$18,0)</f>
        <v>143</v>
      </c>
      <c r="AF192" s="49">
        <f>ROUND($Q$8*(Table24[[#This Row],[SHL_TAR_IDPs]]*$AF$3+Table24[[#This Row],[SHL_TAR_HC]]*$AF$4+Table24[[#This Row],[SHL_TAR_NDP]]*$AF$5)/$AF$18,0)</f>
        <v>285</v>
      </c>
      <c r="AG192" s="49">
        <f>ROUND($Q$8*(Table24[[#This Row],[SHL_TAR_IDPs]]*$AG$3+Table24[[#This Row],[SHL_TAR_HC]]*$AG$4+Table24[[#This Row],[SHL_TAR_NDP]]*$AG$5)/$AG$18,0)</f>
        <v>499</v>
      </c>
      <c r="AH192" s="49">
        <f>ROUND($Q$8*(Table24[[#This Row],[SHL_TAR_IDPs]]*$AH$3+Table24[[#This Row],[SHL_TAR_HC]]*$AH$4+Table24[[#This Row],[SHL_TAR_NDP]]*$AH$5)/$AH$18,0)</f>
        <v>253</v>
      </c>
      <c r="AI192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  <c r="AK192" s="101">
        <v>0</v>
      </c>
      <c r="AL192" s="102"/>
    </row>
    <row r="193" spans="1:38" x14ac:dyDescent="0.55000000000000004">
      <c r="A193" t="s">
        <v>455</v>
      </c>
      <c r="B193" t="s">
        <v>225</v>
      </c>
      <c r="C193" t="s">
        <v>415</v>
      </c>
      <c r="D193" s="58">
        <f>_xlfn.XLOOKUP($B193, 'Prioritization calculation'!D:D, 'Prioritization calculation'!X:X, "")</f>
        <v>2</v>
      </c>
      <c r="E193" s="58">
        <v>4</v>
      </c>
      <c r="F193" s="58">
        <v>4</v>
      </c>
      <c r="G193" s="58" t="s">
        <v>572</v>
      </c>
      <c r="H193" s="58">
        <v>0</v>
      </c>
      <c r="I193" s="58">
        <v>189220</v>
      </c>
      <c r="J193" s="58">
        <v>0</v>
      </c>
      <c r="K193" s="58"/>
      <c r="L193" s="58">
        <v>33340</v>
      </c>
      <c r="M193" s="58">
        <v>37944</v>
      </c>
      <c r="N193" s="58">
        <v>17675.468781642743</v>
      </c>
      <c r="O193" s="97">
        <f>SUM(Table24[[#This Row],[SHL_PIN_IDPs]:[SHL_PIN_NDP]])</f>
        <v>72715</v>
      </c>
      <c r="P193" s="98">
        <v>23042</v>
      </c>
      <c r="Q193" s="98">
        <v>7681</v>
      </c>
      <c r="R193" s="98">
        <v>41992</v>
      </c>
      <c r="S193" s="98">
        <f>ROUND(SUM(Table24[[#This Row],[SHL_TAR_IDPs]:[SHL_TAR_NDP]]),0)</f>
        <v>30110</v>
      </c>
      <c r="T193" s="48">
        <f>SUM(Table24[[#This Row],[HIDE IDP]:[HIDE NDP]])</f>
        <v>30109.7</v>
      </c>
      <c r="U193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13825</v>
      </c>
      <c r="V193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3687.2000000000003</v>
      </c>
      <c r="W193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12597.5</v>
      </c>
      <c r="X193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13825</v>
      </c>
      <c r="Y193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3687.2000000000003</v>
      </c>
      <c r="Z193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12597.5</v>
      </c>
      <c r="AA193" s="49">
        <f>ROUND($P$8*(Table24[[#This Row],[SHL_TAR_IDPs]]*$AA$3+Table24[[#This Row],[SHL_TAR_HC]]*$AA$4+Table24[[#This Row],[SHL_TAR_NDP]]*$AA$5)/$AA$18,0)</f>
        <v>2559</v>
      </c>
      <c r="AB193" s="49">
        <f>ROUND($P$8*(Table24[[#This Row],[SHL_TAR_IDPs]]*$AB$3+Table24[[#This Row],[SHL_TAR_HC]]*$AB$4+Table24[[#This Row],[SHL_TAR_NDP]]*$AB$5)/$AB$18,0)</f>
        <v>2559</v>
      </c>
      <c r="AC193" s="49">
        <f>ROUND($Q$8*(Table24[[#This Row],[SHL_TAR_IDPs]]*$AC$3+Table24[[#This Row],[SHL_TAR_HC]]*$AC$4+Table24[[#This Row],[SHL_TAR_NDP]]*$AC$5)/$AC$18,0)</f>
        <v>138</v>
      </c>
      <c r="AD193" s="49">
        <f>ROUND($Q$8*(Table24[[#This Row],[SHL_TAR_IDPs]]*$AD$3+Table24[[#This Row],[SHL_TAR_HC]]*$AD$4+Table24[[#This Row],[SHL_TAR_NDP]]*$AD$5)/$AD$18,0)</f>
        <v>138</v>
      </c>
      <c r="AE193" s="49">
        <f>ROUND($Q$8*(Table24[[#This Row],[SHL_TAR_IDPs]]*$AE$3+Table24[[#This Row],[SHL_TAR_HC]]*$AE$4+Table24[[#This Row],[SHL_TAR_NDP]]*$AE$5)/$AE$18,0)</f>
        <v>301</v>
      </c>
      <c r="AF193" s="49">
        <f>ROUND($Q$8*(Table24[[#This Row],[SHL_TAR_IDPs]]*$AF$3+Table24[[#This Row],[SHL_TAR_HC]]*$AF$4+Table24[[#This Row],[SHL_TAR_NDP]]*$AF$5)/$AF$18,0)</f>
        <v>602</v>
      </c>
      <c r="AG193" s="49">
        <f>ROUND($Q$8*(Table24[[#This Row],[SHL_TAR_IDPs]]*$AG$3+Table24[[#This Row],[SHL_TAR_HC]]*$AG$4+Table24[[#This Row],[SHL_TAR_NDP]]*$AG$5)/$AG$18,0)</f>
        <v>1518</v>
      </c>
      <c r="AH193" s="49">
        <f>ROUND($Q$8*(Table24[[#This Row],[SHL_TAR_IDPs]]*$AH$3+Table24[[#This Row],[SHL_TAR_HC]]*$AH$4+Table24[[#This Row],[SHL_TAR_NDP]]*$AH$5)/$AH$18,0)</f>
        <v>313</v>
      </c>
      <c r="AI193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  <c r="AK193" s="101">
        <v>3.4000000000000002E-2</v>
      </c>
      <c r="AL193" s="102"/>
    </row>
    <row r="194" spans="1:38" x14ac:dyDescent="0.55000000000000004">
      <c r="A194" t="s">
        <v>455</v>
      </c>
      <c r="B194" t="s">
        <v>226</v>
      </c>
      <c r="C194" t="s">
        <v>416</v>
      </c>
      <c r="D194" s="58">
        <f>_xlfn.XLOOKUP($B194, 'Prioritization calculation'!D:D, 'Prioritization calculation'!X:X, "")</f>
        <v>3</v>
      </c>
      <c r="E194" s="58">
        <v>4</v>
      </c>
      <c r="F194" s="58">
        <v>4</v>
      </c>
      <c r="G194" s="58" t="s">
        <v>572</v>
      </c>
      <c r="H194" s="58">
        <v>27560</v>
      </c>
      <c r="I194" s="58">
        <v>21685</v>
      </c>
      <c r="J194" s="58">
        <v>8185</v>
      </c>
      <c r="K194" s="58"/>
      <c r="L194" s="58">
        <v>0</v>
      </c>
      <c r="M194" s="58">
        <v>0</v>
      </c>
      <c r="N194" s="58">
        <v>5239.7269055374591</v>
      </c>
      <c r="O194" s="97">
        <f>SUM(Table24[[#This Row],[SHL_PIN_IDPs]:[SHL_PIN_NDP]])</f>
        <v>29348</v>
      </c>
      <c r="P194" s="98">
        <v>23024</v>
      </c>
      <c r="Q194" s="98">
        <v>3448</v>
      </c>
      <c r="R194" s="98">
        <v>2876</v>
      </c>
      <c r="S194" s="98">
        <f>ROUND(SUM(Table24[[#This Row],[SHL_TAR_IDPs]:[SHL_TAR_NDP]]),0)</f>
        <v>10888</v>
      </c>
      <c r="T194" s="48">
        <f>SUM(Table24[[#This Row],[HIDE IDP]:[HIDE NDP]])</f>
        <v>10888.2</v>
      </c>
      <c r="U194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9210</v>
      </c>
      <c r="V194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1103.2</v>
      </c>
      <c r="W194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575</v>
      </c>
      <c r="X194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9210</v>
      </c>
      <c r="Y194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1103.2</v>
      </c>
      <c r="Z194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575</v>
      </c>
      <c r="AA194" s="49">
        <f>ROUND($P$8*(Table24[[#This Row],[SHL_TAR_IDPs]]*$AA$3+Table24[[#This Row],[SHL_TAR_HC]]*$AA$4+Table24[[#This Row],[SHL_TAR_NDP]]*$AA$5)/$AA$18,0)</f>
        <v>925</v>
      </c>
      <c r="AB194" s="49">
        <f>ROUND($P$8*(Table24[[#This Row],[SHL_TAR_IDPs]]*$AB$3+Table24[[#This Row],[SHL_TAR_HC]]*$AB$4+Table24[[#This Row],[SHL_TAR_NDP]]*$AB$5)/$AB$18,0)</f>
        <v>925</v>
      </c>
      <c r="AC194" s="49">
        <f>ROUND($Q$8*(Table24[[#This Row],[SHL_TAR_IDPs]]*$AC$3+Table24[[#This Row],[SHL_TAR_HC]]*$AC$4+Table24[[#This Row],[SHL_TAR_NDP]]*$AC$5)/$AC$18,0)</f>
        <v>92</v>
      </c>
      <c r="AD194" s="49">
        <f>ROUND($Q$8*(Table24[[#This Row],[SHL_TAR_IDPs]]*$AD$3+Table24[[#This Row],[SHL_TAR_HC]]*$AD$4+Table24[[#This Row],[SHL_TAR_NDP]]*$AD$5)/$AD$18,0)</f>
        <v>92</v>
      </c>
      <c r="AE194" s="49">
        <f>ROUND($Q$8*(Table24[[#This Row],[SHL_TAR_IDPs]]*$AE$3+Table24[[#This Row],[SHL_TAR_HC]]*$AE$4+Table24[[#This Row],[SHL_TAR_NDP]]*$AE$5)/$AE$18,0)</f>
        <v>109</v>
      </c>
      <c r="AF194" s="49">
        <f>ROUND($Q$8*(Table24[[#This Row],[SHL_TAR_IDPs]]*$AF$3+Table24[[#This Row],[SHL_TAR_HC]]*$AF$4+Table24[[#This Row],[SHL_TAR_NDP]]*$AF$5)/$AF$18,0)</f>
        <v>218</v>
      </c>
      <c r="AG194" s="49">
        <f>ROUND($Q$8*(Table24[[#This Row],[SHL_TAR_IDPs]]*$AG$3+Table24[[#This Row],[SHL_TAR_HC]]*$AG$4+Table24[[#This Row],[SHL_TAR_NDP]]*$AG$5)/$AG$18,0)</f>
        <v>383</v>
      </c>
      <c r="AH194" s="49">
        <f>ROUND($Q$8*(Table24[[#This Row],[SHL_TAR_IDPs]]*$AH$3+Table24[[#This Row],[SHL_TAR_HC]]*$AH$4+Table24[[#This Row],[SHL_TAR_NDP]]*$AH$5)/$AH$18,0)</f>
        <v>195</v>
      </c>
      <c r="AI194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  <c r="AK194" s="101">
        <v>1.2E-2</v>
      </c>
      <c r="AL194" s="102"/>
    </row>
    <row r="195" spans="1:38" x14ac:dyDescent="0.55000000000000004">
      <c r="A195" t="s">
        <v>455</v>
      </c>
      <c r="B195" t="s">
        <v>227</v>
      </c>
      <c r="C195" t="s">
        <v>417</v>
      </c>
      <c r="D195" s="58">
        <f>_xlfn.XLOOKUP($B195, 'Prioritization calculation'!D:D, 'Prioritization calculation'!X:X, "")</f>
        <v>2</v>
      </c>
      <c r="E195" s="58">
        <v>4</v>
      </c>
      <c r="F195" s="58">
        <v>4</v>
      </c>
      <c r="G195" s="58" t="s">
        <v>572</v>
      </c>
      <c r="H195" s="58">
        <v>2675</v>
      </c>
      <c r="I195" s="58">
        <v>35980</v>
      </c>
      <c r="J195" s="58">
        <v>0</v>
      </c>
      <c r="K195" s="58"/>
      <c r="L195" s="58">
        <v>0</v>
      </c>
      <c r="M195" s="58">
        <v>4400</v>
      </c>
      <c r="N195" s="58">
        <v>1674.6506024096386</v>
      </c>
      <c r="O195" s="97">
        <f>SUM(Table24[[#This Row],[SHL_PIN_IDPs]:[SHL_PIN_NDP]])</f>
        <v>24342</v>
      </c>
      <c r="P195" s="98">
        <v>2138</v>
      </c>
      <c r="Q195" s="98">
        <v>713</v>
      </c>
      <c r="R195" s="98">
        <v>21491</v>
      </c>
      <c r="S195" s="98">
        <f>ROUND(SUM(Table24[[#This Row],[SHL_TAR_IDPs]:[SHL_TAR_NDP]]),0)</f>
        <v>8073</v>
      </c>
      <c r="T195" s="48">
        <f>SUM(Table24[[#This Row],[HIDE IDP]:[HIDE NDP]])</f>
        <v>8072.9</v>
      </c>
      <c r="U195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1283</v>
      </c>
      <c r="V195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342.40000000000003</v>
      </c>
      <c r="W195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6447.5</v>
      </c>
      <c r="X195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1283</v>
      </c>
      <c r="Y195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342.40000000000003</v>
      </c>
      <c r="Z195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6447.5</v>
      </c>
      <c r="AA195" s="49">
        <f>ROUND($P$8*(Table24[[#This Row],[SHL_TAR_IDPs]]*$AA$3+Table24[[#This Row],[SHL_TAR_HC]]*$AA$4+Table24[[#This Row],[SHL_TAR_NDP]]*$AA$5)/$AA$18,0)</f>
        <v>686</v>
      </c>
      <c r="AB195" s="49">
        <f>ROUND($P$8*(Table24[[#This Row],[SHL_TAR_IDPs]]*$AB$3+Table24[[#This Row],[SHL_TAR_HC]]*$AB$4+Table24[[#This Row],[SHL_TAR_NDP]]*$AB$5)/$AB$18,0)</f>
        <v>686</v>
      </c>
      <c r="AC195" s="49">
        <f>ROUND($Q$8*(Table24[[#This Row],[SHL_TAR_IDPs]]*$AC$3+Table24[[#This Row],[SHL_TAR_HC]]*$AC$4+Table24[[#This Row],[SHL_TAR_NDP]]*$AC$5)/$AC$18,0)</f>
        <v>13</v>
      </c>
      <c r="AD195" s="49">
        <f>ROUND($Q$8*(Table24[[#This Row],[SHL_TAR_IDPs]]*$AD$3+Table24[[#This Row],[SHL_TAR_HC]]*$AD$4+Table24[[#This Row],[SHL_TAR_NDP]]*$AD$5)/$AD$18,0)</f>
        <v>13</v>
      </c>
      <c r="AE195" s="49">
        <f>ROUND($Q$8*(Table24[[#This Row],[SHL_TAR_IDPs]]*$AE$3+Table24[[#This Row],[SHL_TAR_HC]]*$AE$4+Table24[[#This Row],[SHL_TAR_NDP]]*$AE$5)/$AE$18,0)</f>
        <v>81</v>
      </c>
      <c r="AF195" s="49">
        <f>ROUND($Q$8*(Table24[[#This Row],[SHL_TAR_IDPs]]*$AF$3+Table24[[#This Row],[SHL_TAR_HC]]*$AF$4+Table24[[#This Row],[SHL_TAR_NDP]]*$AF$5)/$AF$18,0)</f>
        <v>161</v>
      </c>
      <c r="AG195" s="49">
        <f>ROUND($Q$8*(Table24[[#This Row],[SHL_TAR_IDPs]]*$AG$3+Table24[[#This Row],[SHL_TAR_HC]]*$AG$4+Table24[[#This Row],[SHL_TAR_NDP]]*$AG$5)/$AG$18,0)</f>
        <v>510</v>
      </c>
      <c r="AH195" s="49">
        <f>ROUND($Q$8*(Table24[[#This Row],[SHL_TAR_IDPs]]*$AH$3+Table24[[#This Row],[SHL_TAR_HC]]*$AH$4+Table24[[#This Row],[SHL_TAR_NDP]]*$AH$5)/$AH$18,0)</f>
        <v>29</v>
      </c>
      <c r="AI195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  <c r="AK195" s="101">
        <v>2.8000000000000001E-2</v>
      </c>
      <c r="AL195" s="102"/>
    </row>
    <row r="196" spans="1:38" x14ac:dyDescent="0.55000000000000004">
      <c r="A196" t="s">
        <v>456</v>
      </c>
      <c r="B196" t="s">
        <v>228</v>
      </c>
      <c r="C196" t="s">
        <v>418</v>
      </c>
      <c r="D196" s="58">
        <f>_xlfn.XLOOKUP($B196, 'Prioritization calculation'!D:D, 'Prioritization calculation'!X:X, "")</f>
        <v>2</v>
      </c>
      <c r="E196" s="58">
        <v>3</v>
      </c>
      <c r="F196" s="58">
        <v>4</v>
      </c>
      <c r="G196" s="58" t="s">
        <v>573</v>
      </c>
      <c r="H196" s="58">
        <v>2042</v>
      </c>
      <c r="I196" s="58">
        <v>15</v>
      </c>
      <c r="J196" s="58">
        <v>0</v>
      </c>
      <c r="K196" s="58"/>
      <c r="L196" s="58">
        <v>6565</v>
      </c>
      <c r="M196" s="58">
        <v>6029</v>
      </c>
      <c r="N196" s="58">
        <v>406.14705882352939</v>
      </c>
      <c r="O196" s="97">
        <f>SUM(Table24[[#This Row],[SHL_PIN_IDPs]:[SHL_PIN_NDP]])</f>
        <v>14475</v>
      </c>
      <c r="P196" s="98">
        <v>3918</v>
      </c>
      <c r="Q196" s="98">
        <v>2081</v>
      </c>
      <c r="R196" s="98">
        <v>8476</v>
      </c>
      <c r="S196" s="98">
        <f>ROUND(SUM(Table24[[#This Row],[SHL_TAR_IDPs]:[SHL_TAR_NDP]]),0)</f>
        <v>800</v>
      </c>
      <c r="T196" s="100">
        <f>SUM(Table24[[#This Row],[HIDE IDP]:[HIDE NDP]])</f>
        <v>3927.6</v>
      </c>
      <c r="U196" s="100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1567</v>
      </c>
      <c r="V196" s="100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665.6</v>
      </c>
      <c r="W196" s="100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1695</v>
      </c>
      <c r="X196" s="98">
        <f>100000*AK196</f>
        <v>800</v>
      </c>
      <c r="Y196" s="9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0</v>
      </c>
      <c r="Z196" s="9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196" s="49">
        <f>ROUND($P$8*(Table24[[#This Row],[SHL_TAR_IDPs]]*$AA$3+Table24[[#This Row],[SHL_TAR_HC]]*$AA$4+Table24[[#This Row],[SHL_TAR_NDP]]*$AA$5)/$AA$18,0)</f>
        <v>68</v>
      </c>
      <c r="AB196" s="49">
        <f>ROUND($P$8*(Table24[[#This Row],[SHL_TAR_IDPs]]*$AB$3+Table24[[#This Row],[SHL_TAR_HC]]*$AB$4+Table24[[#This Row],[SHL_TAR_NDP]]*$AB$5)/$AB$18,0)</f>
        <v>68</v>
      </c>
      <c r="AC196" s="49">
        <f>ROUND($Q$8*(Table24[[#This Row],[SHL_TAR_IDPs]]*$AC$3+Table24[[#This Row],[SHL_TAR_HC]]*$AC$4+Table24[[#This Row],[SHL_TAR_NDP]]*$AC$5)/$AC$18,0)</f>
        <v>8</v>
      </c>
      <c r="AD196" s="49">
        <f>ROUND($Q$8*(Table24[[#This Row],[SHL_TAR_IDPs]]*$AD$3+Table24[[#This Row],[SHL_TAR_HC]]*$AD$4+Table24[[#This Row],[SHL_TAR_NDP]]*$AD$5)/$AD$18,0)</f>
        <v>8</v>
      </c>
      <c r="AE196" s="49">
        <f>ROUND($Q$8*(Table24[[#This Row],[SHL_TAR_IDPs]]*$AE$3+Table24[[#This Row],[SHL_TAR_HC]]*$AE$4+Table24[[#This Row],[SHL_TAR_NDP]]*$AE$5)/$AE$18,0)</f>
        <v>8</v>
      </c>
      <c r="AF196" s="49">
        <f>ROUND($Q$8*(Table24[[#This Row],[SHL_TAR_IDPs]]*$AF$3+Table24[[#This Row],[SHL_TAR_HC]]*$AF$4+Table24[[#This Row],[SHL_TAR_NDP]]*$AF$5)/$AF$18,0)</f>
        <v>16</v>
      </c>
      <c r="AG196" s="49">
        <f>ROUND($Q$8*(Table24[[#This Row],[SHL_TAR_IDPs]]*$AG$3+Table24[[#This Row],[SHL_TAR_HC]]*$AG$4+Table24[[#This Row],[SHL_TAR_NDP]]*$AG$5)/$AG$18,0)</f>
        <v>24</v>
      </c>
      <c r="AH196" s="49">
        <f>ROUND($Q$8*(Table24[[#This Row],[SHL_TAR_IDPs]]*$AH$3+Table24[[#This Row],[SHL_TAR_HC]]*$AH$4+Table24[[#This Row],[SHL_TAR_NDP]]*$AH$5)/$AH$18,0)</f>
        <v>16</v>
      </c>
      <c r="AI196" s="49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>8</v>
      </c>
      <c r="AK196" s="101">
        <v>8.0000000000000002E-3</v>
      </c>
      <c r="AL196" s="102"/>
    </row>
    <row r="197" spans="1:38" x14ac:dyDescent="0.55000000000000004">
      <c r="A197" t="s">
        <v>456</v>
      </c>
      <c r="B197" t="s">
        <v>229</v>
      </c>
      <c r="C197" t="s">
        <v>419</v>
      </c>
      <c r="D197" s="58">
        <f>_xlfn.XLOOKUP($B197, 'Prioritization calculation'!D:D, 'Prioritization calculation'!X:X, "")</f>
        <v>2</v>
      </c>
      <c r="E197" s="58">
        <v>3</v>
      </c>
      <c r="F197" s="58">
        <v>3</v>
      </c>
      <c r="G197" s="58" t="s">
        <v>573</v>
      </c>
      <c r="H197" s="58">
        <v>3034</v>
      </c>
      <c r="I197" s="58">
        <v>2910</v>
      </c>
      <c r="J197" s="58">
        <v>0</v>
      </c>
      <c r="K197" s="58"/>
      <c r="L197" s="58">
        <v>5000</v>
      </c>
      <c r="M197" s="58">
        <v>6134</v>
      </c>
      <c r="N197" s="58">
        <v>1302.5558982266771</v>
      </c>
      <c r="O197" s="97">
        <f>SUM(Table24[[#This Row],[SHL_PIN_IDPs]:[SHL_PIN_NDP]])</f>
        <v>0</v>
      </c>
      <c r="P197" s="98">
        <v>0</v>
      </c>
      <c r="Q197" s="98">
        <v>0</v>
      </c>
      <c r="R197" s="98">
        <v>0</v>
      </c>
      <c r="S197" s="98">
        <f>ROUND(SUM(Table24[[#This Row],[SHL_TAR_IDPs]:[SHL_TAR_NDP]]),0)</f>
        <v>0</v>
      </c>
      <c r="T197" s="48">
        <f>SUM(Table24[[#This Row],[HIDE IDP]:[HIDE NDP]])</f>
        <v>0</v>
      </c>
      <c r="U197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0</v>
      </c>
      <c r="V197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0</v>
      </c>
      <c r="W197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0</v>
      </c>
      <c r="X197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0</v>
      </c>
      <c r="Y197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0</v>
      </c>
      <c r="Z197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197" s="49">
        <f>ROUND($P$8*(Table24[[#This Row],[SHL_TAR_IDPs]]*$AA$3+Table24[[#This Row],[SHL_TAR_HC]]*$AA$4+Table24[[#This Row],[SHL_TAR_NDP]]*$AA$5)/$AA$18,0)</f>
        <v>0</v>
      </c>
      <c r="AB197" s="49">
        <f>ROUND($P$8*(Table24[[#This Row],[SHL_TAR_IDPs]]*$AB$3+Table24[[#This Row],[SHL_TAR_HC]]*$AB$4+Table24[[#This Row],[SHL_TAR_NDP]]*$AB$5)/$AB$18,0)</f>
        <v>0</v>
      </c>
      <c r="AC197" s="49">
        <f>ROUND($Q$8*(Table24[[#This Row],[SHL_TAR_IDPs]]*$AC$3+Table24[[#This Row],[SHL_TAR_HC]]*$AC$4+Table24[[#This Row],[SHL_TAR_NDP]]*$AC$5)/$AC$18,0)</f>
        <v>0</v>
      </c>
      <c r="AD197" s="49">
        <f>ROUND($Q$8*(Table24[[#This Row],[SHL_TAR_IDPs]]*$AD$3+Table24[[#This Row],[SHL_TAR_HC]]*$AD$4+Table24[[#This Row],[SHL_TAR_NDP]]*$AD$5)/$AD$18,0)</f>
        <v>0</v>
      </c>
      <c r="AE197" s="49">
        <f>ROUND($Q$8*(Table24[[#This Row],[SHL_TAR_IDPs]]*$AE$3+Table24[[#This Row],[SHL_TAR_HC]]*$AE$4+Table24[[#This Row],[SHL_TAR_NDP]]*$AE$5)/$AE$18,0)</f>
        <v>0</v>
      </c>
      <c r="AF197" s="49">
        <f>ROUND($Q$8*(Table24[[#This Row],[SHL_TAR_IDPs]]*$AF$3+Table24[[#This Row],[SHL_TAR_HC]]*$AF$4+Table24[[#This Row],[SHL_TAR_NDP]]*$AF$5)/$AF$18,0)</f>
        <v>0</v>
      </c>
      <c r="AG197" s="49">
        <f>ROUND($Q$8*(Table24[[#This Row],[SHL_TAR_IDPs]]*$AG$3+Table24[[#This Row],[SHL_TAR_HC]]*$AG$4+Table24[[#This Row],[SHL_TAR_NDP]]*$AG$5)/$AG$18,0)</f>
        <v>0</v>
      </c>
      <c r="AH197" s="49">
        <f>ROUND($Q$8*(Table24[[#This Row],[SHL_TAR_IDPs]]*$AH$3+Table24[[#This Row],[SHL_TAR_HC]]*$AH$4+Table24[[#This Row],[SHL_TAR_NDP]]*$AH$5)/$AH$18,0)</f>
        <v>0</v>
      </c>
      <c r="AI197" s="49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>0</v>
      </c>
      <c r="AK197" s="101">
        <v>5.0000000000000001E-3</v>
      </c>
      <c r="AL197" s="102"/>
    </row>
    <row r="198" spans="1:38" x14ac:dyDescent="0.55000000000000004">
      <c r="A198" t="s">
        <v>456</v>
      </c>
      <c r="B198" t="s">
        <v>230</v>
      </c>
      <c r="C198" t="s">
        <v>420</v>
      </c>
      <c r="D198" s="58">
        <f>_xlfn.XLOOKUP($B198, 'Prioritization calculation'!D:D, 'Prioritization calculation'!X:X, "")</f>
        <v>4</v>
      </c>
      <c r="E198" s="58">
        <v>3</v>
      </c>
      <c r="F198" s="58">
        <v>3</v>
      </c>
      <c r="G198" s="58" t="s">
        <v>573</v>
      </c>
      <c r="H198" s="58">
        <v>3114</v>
      </c>
      <c r="I198" s="58">
        <v>0</v>
      </c>
      <c r="J198" s="58">
        <v>0</v>
      </c>
      <c r="K198" s="58"/>
      <c r="L198" s="58">
        <v>0</v>
      </c>
      <c r="M198" s="58">
        <v>2992</v>
      </c>
      <c r="N198" s="58">
        <v>14319.740823136821</v>
      </c>
      <c r="O198" s="97">
        <f>SUM(Table24[[#This Row],[SHL_PIN_IDPs]:[SHL_PIN_NDP]])</f>
        <v>10764</v>
      </c>
      <c r="P198" s="98">
        <v>3292</v>
      </c>
      <c r="Q198" s="98">
        <v>1646</v>
      </c>
      <c r="R198" s="98">
        <v>5826</v>
      </c>
      <c r="S198" s="98">
        <f>ROUND(SUM(Table24[[#This Row],[SHL_TAR_IDPs]:[SHL_TAR_NDP]]),0)</f>
        <v>2600</v>
      </c>
      <c r="T198" s="100">
        <f>SUM(Table24[[#This Row],[HIDE IDP]:[HIDE NDP]])</f>
        <v>752.5</v>
      </c>
      <c r="U198" s="100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329</v>
      </c>
      <c r="V198" s="100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132</v>
      </c>
      <c r="W198" s="100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291.5</v>
      </c>
      <c r="X198" s="98">
        <f>100000*AK198</f>
        <v>2600</v>
      </c>
      <c r="Y198" s="9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0</v>
      </c>
      <c r="Z198" s="9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198" s="49">
        <f>ROUND($P$8*(Table24[[#This Row],[SHL_TAR_IDPs]]*$AA$3+Table24[[#This Row],[SHL_TAR_HC]]*$AA$4+Table24[[#This Row],[SHL_TAR_NDP]]*$AA$5)/$AA$18,0)</f>
        <v>221</v>
      </c>
      <c r="AB198" s="49">
        <f>ROUND($P$8*(Table24[[#This Row],[SHL_TAR_IDPs]]*$AB$3+Table24[[#This Row],[SHL_TAR_HC]]*$AB$4+Table24[[#This Row],[SHL_TAR_NDP]]*$AB$5)/$AB$18,0)</f>
        <v>221</v>
      </c>
      <c r="AC198" s="49">
        <f>ROUND($Q$8*(Table24[[#This Row],[SHL_TAR_IDPs]]*$AC$3+Table24[[#This Row],[SHL_TAR_HC]]*$AC$4+Table24[[#This Row],[SHL_TAR_NDP]]*$AC$5)/$AC$18,0)</f>
        <v>26</v>
      </c>
      <c r="AD198" s="49">
        <f>ROUND($Q$8*(Table24[[#This Row],[SHL_TAR_IDPs]]*$AD$3+Table24[[#This Row],[SHL_TAR_HC]]*$AD$4+Table24[[#This Row],[SHL_TAR_NDP]]*$AD$5)/$AD$18,0)</f>
        <v>26</v>
      </c>
      <c r="AE198" s="49">
        <f>ROUND($Q$8*(Table24[[#This Row],[SHL_TAR_IDPs]]*$AE$3+Table24[[#This Row],[SHL_TAR_HC]]*$AE$4+Table24[[#This Row],[SHL_TAR_NDP]]*$AE$5)/$AE$18,0)</f>
        <v>26</v>
      </c>
      <c r="AF198" s="49">
        <f>ROUND($Q$8*(Table24[[#This Row],[SHL_TAR_IDPs]]*$AF$3+Table24[[#This Row],[SHL_TAR_HC]]*$AF$4+Table24[[#This Row],[SHL_TAR_NDP]]*$AF$5)/$AF$18,0)</f>
        <v>52</v>
      </c>
      <c r="AG198" s="49">
        <f>ROUND($Q$8*(Table24[[#This Row],[SHL_TAR_IDPs]]*$AG$3+Table24[[#This Row],[SHL_TAR_HC]]*$AG$4+Table24[[#This Row],[SHL_TAR_NDP]]*$AG$5)/$AG$18,0)</f>
        <v>78</v>
      </c>
      <c r="AH198" s="49">
        <f>ROUND($Q$8*(Table24[[#This Row],[SHL_TAR_IDPs]]*$AH$3+Table24[[#This Row],[SHL_TAR_HC]]*$AH$4+Table24[[#This Row],[SHL_TAR_NDP]]*$AH$5)/$AH$18,0)</f>
        <v>52</v>
      </c>
      <c r="AI198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  <c r="AK198" s="101">
        <v>2.5999999999999999E-2</v>
      </c>
      <c r="AL198" s="102"/>
    </row>
    <row r="199" spans="1:38" x14ac:dyDescent="0.55000000000000004">
      <c r="A199" t="s">
        <v>456</v>
      </c>
      <c r="B199" t="s">
        <v>231</v>
      </c>
      <c r="C199" t="s">
        <v>421</v>
      </c>
      <c r="D199" s="58">
        <f>_xlfn.XLOOKUP($B199, 'Prioritization calculation'!D:D, 'Prioritization calculation'!X:X, "")</f>
        <v>5</v>
      </c>
      <c r="E199" s="58">
        <v>3</v>
      </c>
      <c r="F199" s="58">
        <v>3</v>
      </c>
      <c r="G199" s="58" t="s">
        <v>572</v>
      </c>
      <c r="H199" s="58">
        <v>1222</v>
      </c>
      <c r="I199" s="58">
        <v>0</v>
      </c>
      <c r="J199" s="58">
        <v>0</v>
      </c>
      <c r="K199" s="58"/>
      <c r="L199" s="58">
        <v>3550</v>
      </c>
      <c r="M199" s="58">
        <v>3710</v>
      </c>
      <c r="N199" s="58">
        <v>0</v>
      </c>
      <c r="O199" s="97">
        <f>SUM(Table24[[#This Row],[SHL_PIN_IDPs]:[SHL_PIN_NDP]])</f>
        <v>24357</v>
      </c>
      <c r="P199" s="98">
        <v>12463</v>
      </c>
      <c r="Q199" s="98">
        <v>6927</v>
      </c>
      <c r="R199" s="98">
        <v>4967</v>
      </c>
      <c r="S199" s="98">
        <f>ROUND(SUM(Table24[[#This Row],[SHL_TAR_IDPs]:[SHL_TAR_NDP]]),0)</f>
        <v>0</v>
      </c>
      <c r="T199" s="48">
        <f>SUM(Table24[[#This Row],[HIDE IDP]:[HIDE NDP]])</f>
        <v>1023.8</v>
      </c>
      <c r="U199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623</v>
      </c>
      <c r="V199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276.8</v>
      </c>
      <c r="W199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124</v>
      </c>
      <c r="X199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0</v>
      </c>
      <c r="Y199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0</v>
      </c>
      <c r="Z199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199" s="49">
        <f>ROUND($P$8*(Table24[[#This Row],[SHL_TAR_IDPs]]*$AA$3+Table24[[#This Row],[SHL_TAR_HC]]*$AA$4+Table24[[#This Row],[SHL_TAR_NDP]]*$AA$5)/$AA$18,0)</f>
        <v>0</v>
      </c>
      <c r="AB199" s="49">
        <f>ROUND($P$8*(Table24[[#This Row],[SHL_TAR_IDPs]]*$AB$3+Table24[[#This Row],[SHL_TAR_HC]]*$AB$4+Table24[[#This Row],[SHL_TAR_NDP]]*$AB$5)/$AB$18,0)</f>
        <v>0</v>
      </c>
      <c r="AC199" s="49">
        <f>ROUND($Q$8*(Table24[[#This Row],[SHL_TAR_IDPs]]*$AC$3+Table24[[#This Row],[SHL_TAR_HC]]*$AC$4+Table24[[#This Row],[SHL_TAR_NDP]]*$AC$5)/$AC$18,0)</f>
        <v>0</v>
      </c>
      <c r="AD199" s="49">
        <f>ROUND($Q$8*(Table24[[#This Row],[SHL_TAR_IDPs]]*$AD$3+Table24[[#This Row],[SHL_TAR_HC]]*$AD$4+Table24[[#This Row],[SHL_TAR_NDP]]*$AD$5)/$AD$18,0)</f>
        <v>0</v>
      </c>
      <c r="AE199" s="49">
        <f>ROUND($Q$8*(Table24[[#This Row],[SHL_TAR_IDPs]]*$AE$3+Table24[[#This Row],[SHL_TAR_HC]]*$AE$4+Table24[[#This Row],[SHL_TAR_NDP]]*$AE$5)/$AE$18,0)</f>
        <v>0</v>
      </c>
      <c r="AF199" s="49">
        <f>ROUND($Q$8*(Table24[[#This Row],[SHL_TAR_IDPs]]*$AF$3+Table24[[#This Row],[SHL_TAR_HC]]*$AF$4+Table24[[#This Row],[SHL_TAR_NDP]]*$AF$5)/$AF$18,0)</f>
        <v>0</v>
      </c>
      <c r="AG199" s="49">
        <f>ROUND($Q$8*(Table24[[#This Row],[SHL_TAR_IDPs]]*$AG$3+Table24[[#This Row],[SHL_TAR_HC]]*$AG$4+Table24[[#This Row],[SHL_TAR_NDP]]*$AG$5)/$AG$18,0)</f>
        <v>0</v>
      </c>
      <c r="AH199" s="49">
        <f>ROUND($Q$8*(Table24[[#This Row],[SHL_TAR_IDPs]]*$AH$3+Table24[[#This Row],[SHL_TAR_HC]]*$AH$4+Table24[[#This Row],[SHL_TAR_NDP]]*$AH$5)/$AH$18,0)</f>
        <v>0</v>
      </c>
      <c r="AI199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  <c r="AK199" s="101">
        <v>2.5000000000000001E-2</v>
      </c>
      <c r="AL199" s="102"/>
    </row>
    <row r="200" spans="1:38" x14ac:dyDescent="0.55000000000000004">
      <c r="A200" t="s">
        <v>456</v>
      </c>
      <c r="B200" t="s">
        <v>232</v>
      </c>
      <c r="C200" t="s">
        <v>422</v>
      </c>
      <c r="D200" s="58">
        <f>_xlfn.XLOOKUP($B200, 'Prioritization calculation'!D:D, 'Prioritization calculation'!X:X, "")</f>
        <v>3</v>
      </c>
      <c r="E200" s="58">
        <v>2</v>
      </c>
      <c r="F200" s="58">
        <v>4</v>
      </c>
      <c r="G200" s="58" t="s">
        <v>573</v>
      </c>
      <c r="H200" s="58">
        <v>3138</v>
      </c>
      <c r="I200" s="58">
        <v>0</v>
      </c>
      <c r="J200" s="58">
        <v>0</v>
      </c>
      <c r="K200" s="58"/>
      <c r="L200" s="58">
        <v>0</v>
      </c>
      <c r="M200" s="58">
        <v>2094</v>
      </c>
      <c r="N200" s="58">
        <v>1162.1832167832167</v>
      </c>
      <c r="O200" s="97">
        <f>SUM(Table24[[#This Row],[SHL_PIN_IDPs]:[SHL_PIN_NDP]])</f>
        <v>0</v>
      </c>
      <c r="P200" s="98">
        <v>0</v>
      </c>
      <c r="Q200" s="98">
        <v>0</v>
      </c>
      <c r="R200" s="98">
        <v>0</v>
      </c>
      <c r="S200" s="98">
        <f>ROUND(SUM(Table24[[#This Row],[SHL_TAR_IDPs]:[SHL_TAR_NDP]]),0)</f>
        <v>0</v>
      </c>
      <c r="T200" s="48">
        <f>SUM(Table24[[#This Row],[HIDE IDP]:[HIDE NDP]])</f>
        <v>0</v>
      </c>
      <c r="U200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0</v>
      </c>
      <c r="V200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0</v>
      </c>
      <c r="W200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0</v>
      </c>
      <c r="X200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0</v>
      </c>
      <c r="Y200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0</v>
      </c>
      <c r="Z200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200" s="49">
        <f>ROUND($P$8*(Table24[[#This Row],[SHL_TAR_IDPs]]*$AA$3+Table24[[#This Row],[SHL_TAR_HC]]*$AA$4+Table24[[#This Row],[SHL_TAR_NDP]]*$AA$5)/$AA$18,0)</f>
        <v>0</v>
      </c>
      <c r="AB200" s="49">
        <f>ROUND($P$8*(Table24[[#This Row],[SHL_TAR_IDPs]]*$AB$3+Table24[[#This Row],[SHL_TAR_HC]]*$AB$4+Table24[[#This Row],[SHL_TAR_NDP]]*$AB$5)/$AB$18,0)</f>
        <v>0</v>
      </c>
      <c r="AC200" s="49">
        <f>ROUND($Q$8*(Table24[[#This Row],[SHL_TAR_IDPs]]*$AC$3+Table24[[#This Row],[SHL_TAR_HC]]*$AC$4+Table24[[#This Row],[SHL_TAR_NDP]]*$AC$5)/$AC$18,0)</f>
        <v>0</v>
      </c>
      <c r="AD200" s="49">
        <f>ROUND($Q$8*(Table24[[#This Row],[SHL_TAR_IDPs]]*$AD$3+Table24[[#This Row],[SHL_TAR_HC]]*$AD$4+Table24[[#This Row],[SHL_TAR_NDP]]*$AD$5)/$AD$18,0)</f>
        <v>0</v>
      </c>
      <c r="AE200" s="49">
        <f>ROUND($Q$8*(Table24[[#This Row],[SHL_TAR_IDPs]]*$AE$3+Table24[[#This Row],[SHL_TAR_HC]]*$AE$4+Table24[[#This Row],[SHL_TAR_NDP]]*$AE$5)/$AE$18,0)</f>
        <v>0</v>
      </c>
      <c r="AF200" s="49">
        <f>ROUND($Q$8*(Table24[[#This Row],[SHL_TAR_IDPs]]*$AF$3+Table24[[#This Row],[SHL_TAR_HC]]*$AF$4+Table24[[#This Row],[SHL_TAR_NDP]]*$AF$5)/$AF$18,0)</f>
        <v>0</v>
      </c>
      <c r="AG200" s="49">
        <f>ROUND($Q$8*(Table24[[#This Row],[SHL_TAR_IDPs]]*$AG$3+Table24[[#This Row],[SHL_TAR_HC]]*$AG$4+Table24[[#This Row],[SHL_TAR_NDP]]*$AG$5)/$AG$18,0)</f>
        <v>0</v>
      </c>
      <c r="AH200" s="49">
        <f>ROUND($Q$8*(Table24[[#This Row],[SHL_TAR_IDPs]]*$AH$3+Table24[[#This Row],[SHL_TAR_HC]]*$AH$4+Table24[[#This Row],[SHL_TAR_NDP]]*$AH$5)/$AH$18,0)</f>
        <v>0</v>
      </c>
      <c r="AI200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  <c r="AK200" s="101">
        <v>2.1999999999999999E-2</v>
      </c>
      <c r="AL200" s="102"/>
    </row>
    <row r="201" spans="1:38" x14ac:dyDescent="0.55000000000000004">
      <c r="A201" t="s">
        <v>456</v>
      </c>
      <c r="B201" t="s">
        <v>233</v>
      </c>
      <c r="C201" t="s">
        <v>423</v>
      </c>
      <c r="D201" s="58">
        <f>_xlfn.XLOOKUP($B201, 'Prioritization calculation'!D:D, 'Prioritization calculation'!X:X, "")</f>
        <v>3</v>
      </c>
      <c r="E201" s="58">
        <v>4</v>
      </c>
      <c r="F201" s="58">
        <v>3</v>
      </c>
      <c r="G201" s="58" t="s">
        <v>572</v>
      </c>
      <c r="H201" s="58">
        <v>1656</v>
      </c>
      <c r="I201" s="58">
        <v>4385</v>
      </c>
      <c r="J201" s="58">
        <v>385</v>
      </c>
      <c r="K201" s="58"/>
      <c r="L201" s="58">
        <v>0</v>
      </c>
      <c r="M201" s="58">
        <v>15602</v>
      </c>
      <c r="N201" s="58">
        <v>0</v>
      </c>
      <c r="O201" s="97">
        <f>SUM(Table24[[#This Row],[SHL_PIN_IDPs]:[SHL_PIN_NDP]])</f>
        <v>21379</v>
      </c>
      <c r="P201" s="98">
        <v>13126</v>
      </c>
      <c r="Q201" s="98">
        <v>4376</v>
      </c>
      <c r="R201" s="98">
        <v>3877</v>
      </c>
      <c r="S201" s="98">
        <f>ROUND(SUM(Table24[[#This Row],[SHL_TAR_IDPs]:[SHL_TAR_NDP]]),0)</f>
        <v>7426</v>
      </c>
      <c r="T201" s="48">
        <f>SUM(Table24[[#This Row],[HIDE IDP]:[HIDE NDP]])</f>
        <v>7425.5</v>
      </c>
      <c r="U201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5250</v>
      </c>
      <c r="V201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1400</v>
      </c>
      <c r="W201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775.5</v>
      </c>
      <c r="X201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5250</v>
      </c>
      <c r="Y201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1400</v>
      </c>
      <c r="Z201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775.5</v>
      </c>
      <c r="AA201" s="49">
        <f>ROUND($P$8*(Table24[[#This Row],[SHL_TAR_IDPs]]*$AA$3+Table24[[#This Row],[SHL_TAR_HC]]*$AA$4+Table24[[#This Row],[SHL_TAR_NDP]]*$AA$5)/$AA$18,0)</f>
        <v>631</v>
      </c>
      <c r="AB201" s="49">
        <f>ROUND($P$8*(Table24[[#This Row],[SHL_TAR_IDPs]]*$AB$3+Table24[[#This Row],[SHL_TAR_HC]]*$AB$4+Table24[[#This Row],[SHL_TAR_NDP]]*$AB$5)/$AB$18,0)</f>
        <v>631</v>
      </c>
      <c r="AC201" s="49">
        <f>ROUND($Q$8*(Table24[[#This Row],[SHL_TAR_IDPs]]*$AC$3+Table24[[#This Row],[SHL_TAR_HC]]*$AC$4+Table24[[#This Row],[SHL_TAR_NDP]]*$AC$5)/$AC$18,0)</f>
        <v>53</v>
      </c>
      <c r="AD201" s="49">
        <f>ROUND($Q$8*(Table24[[#This Row],[SHL_TAR_IDPs]]*$AD$3+Table24[[#This Row],[SHL_TAR_HC]]*$AD$4+Table24[[#This Row],[SHL_TAR_NDP]]*$AD$5)/$AD$18,0)</f>
        <v>53</v>
      </c>
      <c r="AE201" s="49">
        <f>ROUND($Q$8*(Table24[[#This Row],[SHL_TAR_IDPs]]*$AE$3+Table24[[#This Row],[SHL_TAR_HC]]*$AE$4+Table24[[#This Row],[SHL_TAR_NDP]]*$AE$5)/$AE$18,0)</f>
        <v>74</v>
      </c>
      <c r="AF201" s="49">
        <f>ROUND($Q$8*(Table24[[#This Row],[SHL_TAR_IDPs]]*$AF$3+Table24[[#This Row],[SHL_TAR_HC]]*$AF$4+Table24[[#This Row],[SHL_TAR_NDP]]*$AF$5)/$AF$18,0)</f>
        <v>149</v>
      </c>
      <c r="AG201" s="49">
        <f>ROUND($Q$8*(Table24[[#This Row],[SHL_TAR_IDPs]]*$AG$3+Table24[[#This Row],[SHL_TAR_HC]]*$AG$4+Table24[[#This Row],[SHL_TAR_NDP]]*$AG$5)/$AG$18,0)</f>
        <v>296</v>
      </c>
      <c r="AH201" s="49">
        <f>ROUND($Q$8*(Table24[[#This Row],[SHL_TAR_IDPs]]*$AH$3+Table24[[#This Row],[SHL_TAR_HC]]*$AH$4+Table24[[#This Row],[SHL_TAR_NDP]]*$AH$5)/$AH$18,0)</f>
        <v>119</v>
      </c>
      <c r="AI201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  <c r="AK201" s="101">
        <v>0</v>
      </c>
      <c r="AL201" s="102"/>
    </row>
    <row r="202" spans="1:38" x14ac:dyDescent="0.55000000000000004">
      <c r="A202" t="s">
        <v>456</v>
      </c>
      <c r="B202" t="s">
        <v>234</v>
      </c>
      <c r="C202" t="s">
        <v>424</v>
      </c>
      <c r="D202" s="58">
        <f>_xlfn.XLOOKUP($B202, 'Prioritization calculation'!D:D, 'Prioritization calculation'!X:X, "")</f>
        <v>2</v>
      </c>
      <c r="E202" s="58">
        <v>4</v>
      </c>
      <c r="F202" s="58">
        <v>4</v>
      </c>
      <c r="G202" s="58" t="s">
        <v>573</v>
      </c>
      <c r="H202" s="58">
        <v>1038</v>
      </c>
      <c r="I202" s="58">
        <v>2005</v>
      </c>
      <c r="J202" s="58">
        <v>0</v>
      </c>
      <c r="K202" s="58"/>
      <c r="L202" s="58">
        <v>0</v>
      </c>
      <c r="M202" s="58">
        <v>1721</v>
      </c>
      <c r="N202" s="58">
        <v>0</v>
      </c>
      <c r="O202" s="97">
        <f>SUM(Table24[[#This Row],[SHL_PIN_IDPs]:[SHL_PIN_NDP]])</f>
        <v>0</v>
      </c>
      <c r="P202" s="98">
        <v>0</v>
      </c>
      <c r="Q202" s="98">
        <v>0</v>
      </c>
      <c r="R202" s="98">
        <v>0</v>
      </c>
      <c r="S202" s="98">
        <f>ROUND(SUM(Table24[[#This Row],[SHL_TAR_IDPs]:[SHL_TAR_NDP]]),0)</f>
        <v>0</v>
      </c>
      <c r="T202" s="48">
        <f>SUM(Table24[[#This Row],[HIDE IDP]:[HIDE NDP]])</f>
        <v>0</v>
      </c>
      <c r="U202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0</v>
      </c>
      <c r="V202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0</v>
      </c>
      <c r="W202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0</v>
      </c>
      <c r="X202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0</v>
      </c>
      <c r="Y202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0</v>
      </c>
      <c r="Z202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202" s="49">
        <f>ROUND($P$8*(Table24[[#This Row],[SHL_TAR_IDPs]]*$AA$3+Table24[[#This Row],[SHL_TAR_HC]]*$AA$4+Table24[[#This Row],[SHL_TAR_NDP]]*$AA$5)/$AA$18,0)</f>
        <v>0</v>
      </c>
      <c r="AB202" s="49">
        <f>ROUND($P$8*(Table24[[#This Row],[SHL_TAR_IDPs]]*$AB$3+Table24[[#This Row],[SHL_TAR_HC]]*$AB$4+Table24[[#This Row],[SHL_TAR_NDP]]*$AB$5)/$AB$18,0)</f>
        <v>0</v>
      </c>
      <c r="AC202" s="49">
        <f>ROUND($Q$8*(Table24[[#This Row],[SHL_TAR_IDPs]]*$AC$3+Table24[[#This Row],[SHL_TAR_HC]]*$AC$4+Table24[[#This Row],[SHL_TAR_NDP]]*$AC$5)/$AC$18,0)</f>
        <v>0</v>
      </c>
      <c r="AD202" s="49">
        <f>ROUND($Q$8*(Table24[[#This Row],[SHL_TAR_IDPs]]*$AD$3+Table24[[#This Row],[SHL_TAR_HC]]*$AD$4+Table24[[#This Row],[SHL_TAR_NDP]]*$AD$5)/$AD$18,0)</f>
        <v>0</v>
      </c>
      <c r="AE202" s="49">
        <f>ROUND($Q$8*(Table24[[#This Row],[SHL_TAR_IDPs]]*$AE$3+Table24[[#This Row],[SHL_TAR_HC]]*$AE$4+Table24[[#This Row],[SHL_TAR_NDP]]*$AE$5)/$AE$18,0)</f>
        <v>0</v>
      </c>
      <c r="AF202" s="49">
        <f>ROUND($Q$8*(Table24[[#This Row],[SHL_TAR_IDPs]]*$AF$3+Table24[[#This Row],[SHL_TAR_HC]]*$AF$4+Table24[[#This Row],[SHL_TAR_NDP]]*$AF$5)/$AF$18,0)</f>
        <v>0</v>
      </c>
      <c r="AG202" s="49">
        <f>ROUND($Q$8*(Table24[[#This Row],[SHL_TAR_IDPs]]*$AG$3+Table24[[#This Row],[SHL_TAR_HC]]*$AG$4+Table24[[#This Row],[SHL_TAR_NDP]]*$AG$5)/$AG$18,0)</f>
        <v>0</v>
      </c>
      <c r="AH202" s="49">
        <f>ROUND($Q$8*(Table24[[#This Row],[SHL_TAR_IDPs]]*$AH$3+Table24[[#This Row],[SHL_TAR_HC]]*$AH$4+Table24[[#This Row],[SHL_TAR_NDP]]*$AH$5)/$AH$18,0)</f>
        <v>0</v>
      </c>
      <c r="AI202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  <c r="AK202" s="101">
        <v>2.1000000000000001E-2</v>
      </c>
      <c r="AL202" s="102"/>
    </row>
    <row r="203" spans="1:38" x14ac:dyDescent="0.55000000000000004">
      <c r="A203" t="s">
        <v>456</v>
      </c>
      <c r="B203" t="s">
        <v>235</v>
      </c>
      <c r="C203" t="s">
        <v>425</v>
      </c>
      <c r="D203" s="58">
        <f>_xlfn.XLOOKUP($B203, 'Prioritization calculation'!D:D, 'Prioritization calculation'!X:X, "")</f>
        <v>2</v>
      </c>
      <c r="E203" s="58">
        <v>4</v>
      </c>
      <c r="F203" s="58">
        <v>3</v>
      </c>
      <c r="G203" s="58" t="s">
        <v>573</v>
      </c>
      <c r="H203" s="58">
        <v>7429</v>
      </c>
      <c r="I203" s="58">
        <v>100</v>
      </c>
      <c r="J203" s="58">
        <v>0</v>
      </c>
      <c r="K203" s="58"/>
      <c r="L203" s="58">
        <v>5530</v>
      </c>
      <c r="M203" s="58">
        <v>19404</v>
      </c>
      <c r="N203" s="58">
        <v>3020.0355969331877</v>
      </c>
      <c r="O203" s="97">
        <f>SUM(Table24[[#This Row],[SHL_PIN_IDPs]:[SHL_PIN_NDP]])</f>
        <v>46663</v>
      </c>
      <c r="P203" s="98">
        <v>21581</v>
      </c>
      <c r="Q203" s="98">
        <v>7194</v>
      </c>
      <c r="R203" s="98">
        <v>17888</v>
      </c>
      <c r="S203" s="98">
        <f>ROUND(SUM(Table24[[#This Row],[SHL_TAR_IDPs]:[SHL_TAR_NDP]]),0)</f>
        <v>21768</v>
      </c>
      <c r="T203" s="48">
        <f>SUM(Table24[[#This Row],[HIDE IDP]:[HIDE NDP]])</f>
        <v>21768.3</v>
      </c>
      <c r="U203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12949</v>
      </c>
      <c r="V203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3452.8</v>
      </c>
      <c r="W203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5366.5</v>
      </c>
      <c r="X203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12949</v>
      </c>
      <c r="Y203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3452.8</v>
      </c>
      <c r="Z203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5366.5</v>
      </c>
      <c r="AA203" s="49">
        <f>ROUND($P$8*(Table24[[#This Row],[SHL_TAR_IDPs]]*$AA$3+Table24[[#This Row],[SHL_TAR_HC]]*$AA$4+Table24[[#This Row],[SHL_TAR_NDP]]*$AA$5)/$AA$18,0)</f>
        <v>1850</v>
      </c>
      <c r="AB203" s="49">
        <f>ROUND($P$8*(Table24[[#This Row],[SHL_TAR_IDPs]]*$AB$3+Table24[[#This Row],[SHL_TAR_HC]]*$AB$4+Table24[[#This Row],[SHL_TAR_NDP]]*$AB$5)/$AB$18,0)</f>
        <v>1850</v>
      </c>
      <c r="AC203" s="49">
        <f>ROUND($Q$8*(Table24[[#This Row],[SHL_TAR_IDPs]]*$AC$3+Table24[[#This Row],[SHL_TAR_HC]]*$AC$4+Table24[[#This Row],[SHL_TAR_NDP]]*$AC$5)/$AC$18,0)</f>
        <v>129</v>
      </c>
      <c r="AD203" s="49">
        <f>ROUND($Q$8*(Table24[[#This Row],[SHL_TAR_IDPs]]*$AD$3+Table24[[#This Row],[SHL_TAR_HC]]*$AD$4+Table24[[#This Row],[SHL_TAR_NDP]]*$AD$5)/$AD$18,0)</f>
        <v>129</v>
      </c>
      <c r="AE203" s="49">
        <f>ROUND($Q$8*(Table24[[#This Row],[SHL_TAR_IDPs]]*$AE$3+Table24[[#This Row],[SHL_TAR_HC]]*$AE$4+Table24[[#This Row],[SHL_TAR_NDP]]*$AE$5)/$AE$18,0)</f>
        <v>218</v>
      </c>
      <c r="AF203" s="49">
        <f>ROUND($Q$8*(Table24[[#This Row],[SHL_TAR_IDPs]]*$AF$3+Table24[[#This Row],[SHL_TAR_HC]]*$AF$4+Table24[[#This Row],[SHL_TAR_NDP]]*$AF$5)/$AF$18,0)</f>
        <v>435</v>
      </c>
      <c r="AG203" s="49">
        <f>ROUND($Q$8*(Table24[[#This Row],[SHL_TAR_IDPs]]*$AG$3+Table24[[#This Row],[SHL_TAR_HC]]*$AG$4+Table24[[#This Row],[SHL_TAR_NDP]]*$AG$5)/$AG$18,0)</f>
        <v>971</v>
      </c>
      <c r="AH203" s="49">
        <f>ROUND($Q$8*(Table24[[#This Row],[SHL_TAR_IDPs]]*$AH$3+Table24[[#This Row],[SHL_TAR_HC]]*$AH$4+Table24[[#This Row],[SHL_TAR_NDP]]*$AH$5)/$AH$18,0)</f>
        <v>294</v>
      </c>
      <c r="AI203" s="49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>174</v>
      </c>
      <c r="AK203" s="101">
        <v>0</v>
      </c>
      <c r="AL203" s="102"/>
    </row>
    <row r="204" spans="1:38" x14ac:dyDescent="0.55000000000000004">
      <c r="A204" t="s">
        <v>456</v>
      </c>
      <c r="B204" t="s">
        <v>236</v>
      </c>
      <c r="C204" t="s">
        <v>426</v>
      </c>
      <c r="D204" s="58">
        <f>_xlfn.XLOOKUP($B204, 'Prioritization calculation'!D:D, 'Prioritization calculation'!X:X, "")</f>
        <v>4</v>
      </c>
      <c r="E204" s="58">
        <v>3</v>
      </c>
      <c r="F204" s="58">
        <v>3</v>
      </c>
      <c r="G204" s="58" t="s">
        <v>573</v>
      </c>
      <c r="H204" s="58">
        <v>4198</v>
      </c>
      <c r="I204" s="58">
        <v>4155</v>
      </c>
      <c r="J204" s="58">
        <v>0</v>
      </c>
      <c r="K204" s="58"/>
      <c r="L204" s="58">
        <v>3000</v>
      </c>
      <c r="M204" s="58">
        <v>8829</v>
      </c>
      <c r="N204" s="58">
        <v>2702.8264520643811</v>
      </c>
      <c r="O204" s="97">
        <f>SUM(Table24[[#This Row],[SHL_PIN_IDPs]:[SHL_PIN_NDP]])</f>
        <v>15496</v>
      </c>
      <c r="P204" s="98">
        <v>7162</v>
      </c>
      <c r="Q204" s="98">
        <v>4118</v>
      </c>
      <c r="R204" s="98">
        <v>4216</v>
      </c>
      <c r="S204" s="98">
        <f>ROUND(SUM(Table24[[#This Row],[SHL_TAR_IDPs]:[SHL_TAR_NDP]]),0)</f>
        <v>1400</v>
      </c>
      <c r="T204" s="100">
        <f>SUM(Table24[[#This Row],[HIDE IDP]:[HIDE NDP]])</f>
        <v>1256.5999999999999</v>
      </c>
      <c r="U204" s="100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716</v>
      </c>
      <c r="V204" s="100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329.6</v>
      </c>
      <c r="W204" s="100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211</v>
      </c>
      <c r="X204" s="98">
        <f>100000*AK204</f>
        <v>1400</v>
      </c>
      <c r="Y204" s="9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0</v>
      </c>
      <c r="Z204" s="9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204" s="49">
        <f>ROUND($P$8*(Table24[[#This Row],[SHL_TAR_IDPs]]*$AA$3+Table24[[#This Row],[SHL_TAR_HC]]*$AA$4+Table24[[#This Row],[SHL_TAR_NDP]]*$AA$5)/$AA$18,0)</f>
        <v>119</v>
      </c>
      <c r="AB204" s="49">
        <f>ROUND($P$8*(Table24[[#This Row],[SHL_TAR_IDPs]]*$AB$3+Table24[[#This Row],[SHL_TAR_HC]]*$AB$4+Table24[[#This Row],[SHL_TAR_NDP]]*$AB$5)/$AB$18,0)</f>
        <v>119</v>
      </c>
      <c r="AC204" s="49">
        <f>ROUND($Q$8*(Table24[[#This Row],[SHL_TAR_IDPs]]*$AC$3+Table24[[#This Row],[SHL_TAR_HC]]*$AC$4+Table24[[#This Row],[SHL_TAR_NDP]]*$AC$5)/$AC$18,0)</f>
        <v>14</v>
      </c>
      <c r="AD204" s="49">
        <f>ROUND($Q$8*(Table24[[#This Row],[SHL_TAR_IDPs]]*$AD$3+Table24[[#This Row],[SHL_TAR_HC]]*$AD$4+Table24[[#This Row],[SHL_TAR_NDP]]*$AD$5)/$AD$18,0)</f>
        <v>14</v>
      </c>
      <c r="AE204" s="49">
        <f>ROUND($Q$8*(Table24[[#This Row],[SHL_TAR_IDPs]]*$AE$3+Table24[[#This Row],[SHL_TAR_HC]]*$AE$4+Table24[[#This Row],[SHL_TAR_NDP]]*$AE$5)/$AE$18,0)</f>
        <v>14</v>
      </c>
      <c r="AF204" s="49">
        <f>ROUND($Q$8*(Table24[[#This Row],[SHL_TAR_IDPs]]*$AF$3+Table24[[#This Row],[SHL_TAR_HC]]*$AF$4+Table24[[#This Row],[SHL_TAR_NDP]]*$AF$5)/$AF$18,0)</f>
        <v>28</v>
      </c>
      <c r="AG204" s="49">
        <f>ROUND($Q$8*(Table24[[#This Row],[SHL_TAR_IDPs]]*$AG$3+Table24[[#This Row],[SHL_TAR_HC]]*$AG$4+Table24[[#This Row],[SHL_TAR_NDP]]*$AG$5)/$AG$18,0)</f>
        <v>42</v>
      </c>
      <c r="AH204" s="49">
        <f>ROUND($Q$8*(Table24[[#This Row],[SHL_TAR_IDPs]]*$AH$3+Table24[[#This Row],[SHL_TAR_HC]]*$AH$4+Table24[[#This Row],[SHL_TAR_NDP]]*$AH$5)/$AH$18,0)</f>
        <v>28</v>
      </c>
      <c r="AI204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  <c r="AK204" s="101">
        <v>1.4E-2</v>
      </c>
      <c r="AL204" s="102"/>
    </row>
    <row r="205" spans="1:38" x14ac:dyDescent="0.55000000000000004">
      <c r="A205" t="s">
        <v>456</v>
      </c>
      <c r="B205" t="s">
        <v>237</v>
      </c>
      <c r="C205" t="s">
        <v>427</v>
      </c>
      <c r="D205" s="58">
        <f>_xlfn.XLOOKUP($B205, 'Prioritization calculation'!D:D, 'Prioritization calculation'!X:X, "")</f>
        <v>4</v>
      </c>
      <c r="E205" s="58">
        <v>3</v>
      </c>
      <c r="F205" s="58">
        <v>3</v>
      </c>
      <c r="G205" s="58" t="s">
        <v>573</v>
      </c>
      <c r="H205" s="58">
        <v>1193</v>
      </c>
      <c r="I205" s="58">
        <v>0</v>
      </c>
      <c r="J205" s="58">
        <v>0</v>
      </c>
      <c r="K205" s="58"/>
      <c r="L205" s="58">
        <v>3375</v>
      </c>
      <c r="M205" s="58">
        <v>5237</v>
      </c>
      <c r="N205" s="58">
        <v>0</v>
      </c>
      <c r="O205" s="97">
        <f>SUM(Table24[[#This Row],[SHL_PIN_IDPs]:[SHL_PIN_NDP]])</f>
        <v>14678</v>
      </c>
      <c r="P205" s="98">
        <v>2876</v>
      </c>
      <c r="Q205" s="98">
        <v>1438</v>
      </c>
      <c r="R205" s="98">
        <v>10364</v>
      </c>
      <c r="S205" s="98">
        <f>ROUND(SUM(Table24[[#This Row],[SHL_TAR_IDPs]:[SHL_TAR_NDP]]),0)</f>
        <v>0</v>
      </c>
      <c r="T205" s="48">
        <f>SUM(Table24[[#This Row],[HIDE IDP]:[HIDE NDP]])</f>
        <v>921.2</v>
      </c>
      <c r="U205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288</v>
      </c>
      <c r="V205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115.2</v>
      </c>
      <c r="W205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518</v>
      </c>
      <c r="X205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0</v>
      </c>
      <c r="Y205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0</v>
      </c>
      <c r="Z205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205" s="49">
        <f>ROUND($P$8*(Table24[[#This Row],[SHL_TAR_IDPs]]*$AA$3+Table24[[#This Row],[SHL_TAR_HC]]*$AA$4+Table24[[#This Row],[SHL_TAR_NDP]]*$AA$5)/$AA$18,0)</f>
        <v>0</v>
      </c>
      <c r="AB205" s="49">
        <f>ROUND($P$8*(Table24[[#This Row],[SHL_TAR_IDPs]]*$AB$3+Table24[[#This Row],[SHL_TAR_HC]]*$AB$4+Table24[[#This Row],[SHL_TAR_NDP]]*$AB$5)/$AB$18,0)</f>
        <v>0</v>
      </c>
      <c r="AC205" s="49">
        <f>ROUND($Q$8*(Table24[[#This Row],[SHL_TAR_IDPs]]*$AC$3+Table24[[#This Row],[SHL_TAR_HC]]*$AC$4+Table24[[#This Row],[SHL_TAR_NDP]]*$AC$5)/$AC$18,0)</f>
        <v>0</v>
      </c>
      <c r="AD205" s="49">
        <f>ROUND($Q$8*(Table24[[#This Row],[SHL_TAR_IDPs]]*$AD$3+Table24[[#This Row],[SHL_TAR_HC]]*$AD$4+Table24[[#This Row],[SHL_TAR_NDP]]*$AD$5)/$AD$18,0)</f>
        <v>0</v>
      </c>
      <c r="AE205" s="49">
        <f>ROUND($Q$8*(Table24[[#This Row],[SHL_TAR_IDPs]]*$AE$3+Table24[[#This Row],[SHL_TAR_HC]]*$AE$4+Table24[[#This Row],[SHL_TAR_NDP]]*$AE$5)/$AE$18,0)</f>
        <v>0</v>
      </c>
      <c r="AF205" s="49">
        <f>ROUND($Q$8*(Table24[[#This Row],[SHL_TAR_IDPs]]*$AF$3+Table24[[#This Row],[SHL_TAR_HC]]*$AF$4+Table24[[#This Row],[SHL_TAR_NDP]]*$AF$5)/$AF$18,0)</f>
        <v>0</v>
      </c>
      <c r="AG205" s="49">
        <f>ROUND($Q$8*(Table24[[#This Row],[SHL_TAR_IDPs]]*$AG$3+Table24[[#This Row],[SHL_TAR_HC]]*$AG$4+Table24[[#This Row],[SHL_TAR_NDP]]*$AG$5)/$AG$18,0)</f>
        <v>0</v>
      </c>
      <c r="AH205" s="49">
        <f>ROUND($Q$8*(Table24[[#This Row],[SHL_TAR_IDPs]]*$AH$3+Table24[[#This Row],[SHL_TAR_HC]]*$AH$4+Table24[[#This Row],[SHL_TAR_NDP]]*$AH$5)/$AH$18,0)</f>
        <v>0</v>
      </c>
      <c r="AI205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  <c r="AK205" s="101">
        <v>1.4E-2</v>
      </c>
      <c r="AL205" s="102"/>
    </row>
    <row r="206" spans="1:38" x14ac:dyDescent="0.55000000000000004">
      <c r="A206" t="s">
        <v>456</v>
      </c>
      <c r="B206" t="s">
        <v>238</v>
      </c>
      <c r="C206" t="s">
        <v>428</v>
      </c>
      <c r="D206" s="58">
        <f>_xlfn.XLOOKUP($B206, 'Prioritization calculation'!D:D, 'Prioritization calculation'!X:X, "")</f>
        <v>4</v>
      </c>
      <c r="E206" s="58">
        <v>3</v>
      </c>
      <c r="F206" s="58">
        <v>3</v>
      </c>
      <c r="G206" s="58" t="s">
        <v>573</v>
      </c>
      <c r="H206" s="58">
        <v>3215</v>
      </c>
      <c r="I206" s="58">
        <v>6085</v>
      </c>
      <c r="J206" s="58">
        <v>0</v>
      </c>
      <c r="K206" s="58"/>
      <c r="L206" s="58">
        <v>0</v>
      </c>
      <c r="M206" s="58">
        <v>4317</v>
      </c>
      <c r="N206" s="58">
        <v>8733.0514198004603</v>
      </c>
      <c r="O206" s="97">
        <f>SUM(Table24[[#This Row],[SHL_PIN_IDPs]:[SHL_PIN_NDP]])</f>
        <v>11786</v>
      </c>
      <c r="P206" s="98">
        <v>5686</v>
      </c>
      <c r="Q206" s="98">
        <v>4055</v>
      </c>
      <c r="R206" s="98">
        <v>2045</v>
      </c>
      <c r="S206" s="98">
        <f>ROUND(SUM(Table24[[#This Row],[SHL_TAR_IDPs]:[SHL_TAR_NDP]]),0)</f>
        <v>1400</v>
      </c>
      <c r="T206" s="100">
        <f>SUM(Table24[[#This Row],[HIDE IDP]:[HIDE NDP]])</f>
        <v>996.3</v>
      </c>
      <c r="U206" s="100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569</v>
      </c>
      <c r="V206" s="100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324.8</v>
      </c>
      <c r="W206" s="100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102.5</v>
      </c>
      <c r="X206" s="98">
        <f>100000*AK206</f>
        <v>1400</v>
      </c>
      <c r="Y206" s="9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0</v>
      </c>
      <c r="Z206" s="9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206" s="49">
        <f>ROUND($P$8*(Table24[[#This Row],[SHL_TAR_IDPs]]*$AA$3+Table24[[#This Row],[SHL_TAR_HC]]*$AA$4+Table24[[#This Row],[SHL_TAR_NDP]]*$AA$5)/$AA$18,0)</f>
        <v>119</v>
      </c>
      <c r="AB206" s="49">
        <f>ROUND($P$8*(Table24[[#This Row],[SHL_TAR_IDPs]]*$AB$3+Table24[[#This Row],[SHL_TAR_HC]]*$AB$4+Table24[[#This Row],[SHL_TAR_NDP]]*$AB$5)/$AB$18,0)</f>
        <v>119</v>
      </c>
      <c r="AC206" s="49">
        <f>ROUND($Q$8*(Table24[[#This Row],[SHL_TAR_IDPs]]*$AC$3+Table24[[#This Row],[SHL_TAR_HC]]*$AC$4+Table24[[#This Row],[SHL_TAR_NDP]]*$AC$5)/$AC$18,0)</f>
        <v>14</v>
      </c>
      <c r="AD206" s="49">
        <f>ROUND($Q$8*(Table24[[#This Row],[SHL_TAR_IDPs]]*$AD$3+Table24[[#This Row],[SHL_TAR_HC]]*$AD$4+Table24[[#This Row],[SHL_TAR_NDP]]*$AD$5)/$AD$18,0)</f>
        <v>14</v>
      </c>
      <c r="AE206" s="49">
        <f>ROUND($Q$8*(Table24[[#This Row],[SHL_TAR_IDPs]]*$AE$3+Table24[[#This Row],[SHL_TAR_HC]]*$AE$4+Table24[[#This Row],[SHL_TAR_NDP]]*$AE$5)/$AE$18,0)</f>
        <v>14</v>
      </c>
      <c r="AF206" s="49">
        <f>ROUND($Q$8*(Table24[[#This Row],[SHL_TAR_IDPs]]*$AF$3+Table24[[#This Row],[SHL_TAR_HC]]*$AF$4+Table24[[#This Row],[SHL_TAR_NDP]]*$AF$5)/$AF$18,0)</f>
        <v>28</v>
      </c>
      <c r="AG206" s="49">
        <f>ROUND($Q$8*(Table24[[#This Row],[SHL_TAR_IDPs]]*$AG$3+Table24[[#This Row],[SHL_TAR_HC]]*$AG$4+Table24[[#This Row],[SHL_TAR_NDP]]*$AG$5)/$AG$18,0)</f>
        <v>42</v>
      </c>
      <c r="AH206" s="49">
        <f>ROUND($Q$8*(Table24[[#This Row],[SHL_TAR_IDPs]]*$AH$3+Table24[[#This Row],[SHL_TAR_HC]]*$AH$4+Table24[[#This Row],[SHL_TAR_NDP]]*$AH$5)/$AH$18,0)</f>
        <v>28</v>
      </c>
      <c r="AI206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  <c r="AK206" s="101">
        <v>1.4E-2</v>
      </c>
      <c r="AL206" s="102"/>
    </row>
    <row r="207" spans="1:38" x14ac:dyDescent="0.55000000000000004">
      <c r="A207" t="s">
        <v>456</v>
      </c>
      <c r="B207" t="s">
        <v>239</v>
      </c>
      <c r="C207" t="s">
        <v>429</v>
      </c>
      <c r="D207" s="58">
        <f>_xlfn.XLOOKUP($B207, 'Prioritization calculation'!D:D, 'Prioritization calculation'!X:X, "")</f>
        <v>4</v>
      </c>
      <c r="E207" s="58">
        <v>3</v>
      </c>
      <c r="F207" s="58">
        <v>4</v>
      </c>
      <c r="G207" s="58" t="s">
        <v>573</v>
      </c>
      <c r="H207" s="58">
        <v>5181</v>
      </c>
      <c r="I207" s="58">
        <v>0</v>
      </c>
      <c r="J207" s="58">
        <v>0</v>
      </c>
      <c r="K207" s="58"/>
      <c r="L207" s="58">
        <v>6060</v>
      </c>
      <c r="M207" s="58">
        <v>4626</v>
      </c>
      <c r="N207" s="58">
        <v>2481.7067389095832</v>
      </c>
      <c r="O207" s="97">
        <f>SUM(Table24[[#This Row],[SHL_PIN_IDPs]:[SHL_PIN_NDP]])</f>
        <v>17607</v>
      </c>
      <c r="P207" s="98">
        <v>4850</v>
      </c>
      <c r="Q207" s="98">
        <v>4008</v>
      </c>
      <c r="R207" s="98">
        <v>8749</v>
      </c>
      <c r="S207" s="98">
        <f>ROUND(SUM(Table24[[#This Row],[SHL_TAR_IDPs]:[SHL_TAR_NDP]]),0)</f>
        <v>2000</v>
      </c>
      <c r="T207" s="100">
        <f>SUM(Table24[[#This Row],[HIDE IDP]:[HIDE NDP]])</f>
        <v>1243.3</v>
      </c>
      <c r="U207" s="100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485</v>
      </c>
      <c r="V207" s="100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320.8</v>
      </c>
      <c r="W207" s="100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437.5</v>
      </c>
      <c r="X207" s="98">
        <f>100000*AK207</f>
        <v>2000</v>
      </c>
      <c r="Y207" s="9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0</v>
      </c>
      <c r="Z207" s="9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207" s="49">
        <f>ROUND($P$8*(Table24[[#This Row],[SHL_TAR_IDPs]]*$AA$3+Table24[[#This Row],[SHL_TAR_HC]]*$AA$4+Table24[[#This Row],[SHL_TAR_NDP]]*$AA$5)/$AA$18,0)</f>
        <v>170</v>
      </c>
      <c r="AB207" s="49">
        <f>ROUND($P$8*(Table24[[#This Row],[SHL_TAR_IDPs]]*$AB$3+Table24[[#This Row],[SHL_TAR_HC]]*$AB$4+Table24[[#This Row],[SHL_TAR_NDP]]*$AB$5)/$AB$18,0)</f>
        <v>170</v>
      </c>
      <c r="AC207" s="49">
        <f>ROUND($Q$8*(Table24[[#This Row],[SHL_TAR_IDPs]]*$AC$3+Table24[[#This Row],[SHL_TAR_HC]]*$AC$4+Table24[[#This Row],[SHL_TAR_NDP]]*$AC$5)/$AC$18,0)</f>
        <v>20</v>
      </c>
      <c r="AD207" s="49">
        <f>ROUND($Q$8*(Table24[[#This Row],[SHL_TAR_IDPs]]*$AD$3+Table24[[#This Row],[SHL_TAR_HC]]*$AD$4+Table24[[#This Row],[SHL_TAR_NDP]]*$AD$5)/$AD$18,0)</f>
        <v>20</v>
      </c>
      <c r="AE207" s="49">
        <f>ROUND($Q$8*(Table24[[#This Row],[SHL_TAR_IDPs]]*$AE$3+Table24[[#This Row],[SHL_TAR_HC]]*$AE$4+Table24[[#This Row],[SHL_TAR_NDP]]*$AE$5)/$AE$18,0)</f>
        <v>20</v>
      </c>
      <c r="AF207" s="49">
        <f>ROUND($Q$8*(Table24[[#This Row],[SHL_TAR_IDPs]]*$AF$3+Table24[[#This Row],[SHL_TAR_HC]]*$AF$4+Table24[[#This Row],[SHL_TAR_NDP]]*$AF$5)/$AF$18,0)</f>
        <v>40</v>
      </c>
      <c r="AG207" s="49">
        <f>ROUND($Q$8*(Table24[[#This Row],[SHL_TAR_IDPs]]*$AG$3+Table24[[#This Row],[SHL_TAR_HC]]*$AG$4+Table24[[#This Row],[SHL_TAR_NDP]]*$AG$5)/$AG$18,0)</f>
        <v>60</v>
      </c>
      <c r="AH207" s="49">
        <f>ROUND($Q$8*(Table24[[#This Row],[SHL_TAR_IDPs]]*$AH$3+Table24[[#This Row],[SHL_TAR_HC]]*$AH$4+Table24[[#This Row],[SHL_TAR_NDP]]*$AH$5)/$AH$18,0)</f>
        <v>40</v>
      </c>
      <c r="AI207" s="49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>20</v>
      </c>
      <c r="AK207" s="101">
        <v>0.02</v>
      </c>
      <c r="AL207" s="102"/>
    </row>
    <row r="208" spans="1:38" x14ac:dyDescent="0.55000000000000004">
      <c r="A208" t="s">
        <v>456</v>
      </c>
      <c r="B208" t="s">
        <v>240</v>
      </c>
      <c r="C208" t="s">
        <v>430</v>
      </c>
      <c r="D208" s="58">
        <f>_xlfn.XLOOKUP($B208, 'Prioritization calculation'!D:D, 'Prioritization calculation'!X:X, "")</f>
        <v>2</v>
      </c>
      <c r="E208" s="58">
        <v>3</v>
      </c>
      <c r="F208" s="58">
        <v>3</v>
      </c>
      <c r="G208" s="58" t="s">
        <v>573</v>
      </c>
      <c r="H208" s="58">
        <v>923</v>
      </c>
      <c r="I208" s="98">
        <v>15605</v>
      </c>
      <c r="J208" s="58">
        <v>0</v>
      </c>
      <c r="K208" s="58"/>
      <c r="L208" s="58">
        <v>0</v>
      </c>
      <c r="M208" s="58">
        <v>3919</v>
      </c>
      <c r="N208" s="58">
        <v>4195.7499038091573</v>
      </c>
      <c r="O208" s="97">
        <f>SUM(Table24[[#This Row],[SHL_PIN_IDPs]:[SHL_PIN_NDP]])</f>
        <v>4692</v>
      </c>
      <c r="P208" s="98">
        <v>4692</v>
      </c>
      <c r="Q208" s="98">
        <v>0</v>
      </c>
      <c r="R208" s="98">
        <v>0</v>
      </c>
      <c r="S208" s="98">
        <f>ROUND(SUM(Table24[[#This Row],[SHL_TAR_IDPs]:[SHL_TAR_NDP]]),0)</f>
        <v>1877</v>
      </c>
      <c r="T208" s="48">
        <f>SUM(Table24[[#This Row],[HIDE IDP]:[HIDE NDP]])</f>
        <v>1877</v>
      </c>
      <c r="U208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1877</v>
      </c>
      <c r="V208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0</v>
      </c>
      <c r="W208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0</v>
      </c>
      <c r="X208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1877</v>
      </c>
      <c r="Y208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0</v>
      </c>
      <c r="Z208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208" s="49">
        <f>ROUND($P$8*(Table24[[#This Row],[SHL_TAR_IDPs]]*$AA$3+Table24[[#This Row],[SHL_TAR_HC]]*$AA$4+Table24[[#This Row],[SHL_TAR_NDP]]*$AA$5)/$AA$18,0)</f>
        <v>160</v>
      </c>
      <c r="AB208" s="49">
        <f>ROUND($P$8*(Table24[[#This Row],[SHL_TAR_IDPs]]*$AB$3+Table24[[#This Row],[SHL_TAR_HC]]*$AB$4+Table24[[#This Row],[SHL_TAR_NDP]]*$AB$5)/$AB$18,0)</f>
        <v>160</v>
      </c>
      <c r="AC208" s="49">
        <f>ROUND($Q$8*(Table24[[#This Row],[SHL_TAR_IDPs]]*$AC$3+Table24[[#This Row],[SHL_TAR_HC]]*$AC$4+Table24[[#This Row],[SHL_TAR_NDP]]*$AC$5)/$AC$18,0)</f>
        <v>19</v>
      </c>
      <c r="AD208" s="49">
        <f>ROUND($Q$8*(Table24[[#This Row],[SHL_TAR_IDPs]]*$AD$3+Table24[[#This Row],[SHL_TAR_HC]]*$AD$4+Table24[[#This Row],[SHL_TAR_NDP]]*$AD$5)/$AD$18,0)</f>
        <v>19</v>
      </c>
      <c r="AE208" s="49">
        <f>ROUND($Q$8*(Table24[[#This Row],[SHL_TAR_IDPs]]*$AE$3+Table24[[#This Row],[SHL_TAR_HC]]*$AE$4+Table24[[#This Row],[SHL_TAR_NDP]]*$AE$5)/$AE$18,0)</f>
        <v>19</v>
      </c>
      <c r="AF208" s="49">
        <f>ROUND($Q$8*(Table24[[#This Row],[SHL_TAR_IDPs]]*$AF$3+Table24[[#This Row],[SHL_TAR_HC]]*$AF$4+Table24[[#This Row],[SHL_TAR_NDP]]*$AF$5)/$AF$18,0)</f>
        <v>38</v>
      </c>
      <c r="AG208" s="49">
        <f>ROUND($Q$8*(Table24[[#This Row],[SHL_TAR_IDPs]]*$AG$3+Table24[[#This Row],[SHL_TAR_HC]]*$AG$4+Table24[[#This Row],[SHL_TAR_NDP]]*$AG$5)/$AG$18,0)</f>
        <v>56</v>
      </c>
      <c r="AH208" s="49">
        <f>ROUND($Q$8*(Table24[[#This Row],[SHL_TAR_IDPs]]*$AH$3+Table24[[#This Row],[SHL_TAR_HC]]*$AH$4+Table24[[#This Row],[SHL_TAR_NDP]]*$AH$5)/$AH$18,0)</f>
        <v>38</v>
      </c>
      <c r="AI208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  <c r="AK208" s="101">
        <v>0.01</v>
      </c>
      <c r="AL208" s="102"/>
    </row>
    <row r="209" spans="1:38" x14ac:dyDescent="0.55000000000000004">
      <c r="A209" t="s">
        <v>456</v>
      </c>
      <c r="B209" t="s">
        <v>241</v>
      </c>
      <c r="C209" t="s">
        <v>431</v>
      </c>
      <c r="D209" s="58">
        <f>_xlfn.XLOOKUP($B209, 'Prioritization calculation'!D:D, 'Prioritization calculation'!X:X, "")</f>
        <v>3</v>
      </c>
      <c r="E209" s="58">
        <v>2</v>
      </c>
      <c r="F209" s="58">
        <v>4</v>
      </c>
      <c r="G209" s="58" t="s">
        <v>573</v>
      </c>
      <c r="H209" s="58">
        <v>3150</v>
      </c>
      <c r="I209" s="58">
        <v>0</v>
      </c>
      <c r="J209" s="58">
        <v>0</v>
      </c>
      <c r="K209" s="58"/>
      <c r="L209" s="58">
        <v>4150</v>
      </c>
      <c r="M209" s="58">
        <v>2752</v>
      </c>
      <c r="N209" s="58">
        <v>3870.0787631271878</v>
      </c>
      <c r="O209" s="97">
        <f>SUM(Table24[[#This Row],[SHL_PIN_IDPs]:[SHL_PIN_NDP]])</f>
        <v>0</v>
      </c>
      <c r="P209" s="98">
        <v>0</v>
      </c>
      <c r="Q209" s="98">
        <v>0</v>
      </c>
      <c r="R209" s="98">
        <v>0</v>
      </c>
      <c r="S209" s="98">
        <f>ROUND(SUM(Table24[[#This Row],[SHL_TAR_IDPs]:[SHL_TAR_NDP]]),0)</f>
        <v>0</v>
      </c>
      <c r="T209" s="48">
        <f>SUM(Table24[[#This Row],[HIDE IDP]:[HIDE NDP]])</f>
        <v>0</v>
      </c>
      <c r="U209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0</v>
      </c>
      <c r="V209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0</v>
      </c>
      <c r="W209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0</v>
      </c>
      <c r="X209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0</v>
      </c>
      <c r="Y209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0</v>
      </c>
      <c r="Z209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209" s="49">
        <f>ROUND($P$8*(Table24[[#This Row],[SHL_TAR_IDPs]]*$AA$3+Table24[[#This Row],[SHL_TAR_HC]]*$AA$4+Table24[[#This Row],[SHL_TAR_NDP]]*$AA$5)/$AA$18,0)</f>
        <v>0</v>
      </c>
      <c r="AB209" s="49">
        <f>ROUND($P$8*(Table24[[#This Row],[SHL_TAR_IDPs]]*$AB$3+Table24[[#This Row],[SHL_TAR_HC]]*$AB$4+Table24[[#This Row],[SHL_TAR_NDP]]*$AB$5)/$AB$18,0)</f>
        <v>0</v>
      </c>
      <c r="AC209" s="49">
        <f>ROUND($Q$8*(Table24[[#This Row],[SHL_TAR_IDPs]]*$AC$3+Table24[[#This Row],[SHL_TAR_HC]]*$AC$4+Table24[[#This Row],[SHL_TAR_NDP]]*$AC$5)/$AC$18,0)</f>
        <v>0</v>
      </c>
      <c r="AD209" s="49">
        <f>ROUND($Q$8*(Table24[[#This Row],[SHL_TAR_IDPs]]*$AD$3+Table24[[#This Row],[SHL_TAR_HC]]*$AD$4+Table24[[#This Row],[SHL_TAR_NDP]]*$AD$5)/$AD$18,0)</f>
        <v>0</v>
      </c>
      <c r="AE209" s="49">
        <f>ROUND($Q$8*(Table24[[#This Row],[SHL_TAR_IDPs]]*$AE$3+Table24[[#This Row],[SHL_TAR_HC]]*$AE$4+Table24[[#This Row],[SHL_TAR_NDP]]*$AE$5)/$AE$18,0)</f>
        <v>0</v>
      </c>
      <c r="AF209" s="49">
        <f>ROUND($Q$8*(Table24[[#This Row],[SHL_TAR_IDPs]]*$AF$3+Table24[[#This Row],[SHL_TAR_HC]]*$AF$4+Table24[[#This Row],[SHL_TAR_NDP]]*$AF$5)/$AF$18,0)</f>
        <v>0</v>
      </c>
      <c r="AG209" s="49">
        <f>ROUND($Q$8*(Table24[[#This Row],[SHL_TAR_IDPs]]*$AG$3+Table24[[#This Row],[SHL_TAR_HC]]*$AG$4+Table24[[#This Row],[SHL_TAR_NDP]]*$AG$5)/$AG$18,0)</f>
        <v>0</v>
      </c>
      <c r="AH209" s="49">
        <f>ROUND($Q$8*(Table24[[#This Row],[SHL_TAR_IDPs]]*$AH$3+Table24[[#This Row],[SHL_TAR_HC]]*$AH$4+Table24[[#This Row],[SHL_TAR_NDP]]*$AH$5)/$AH$18,0)</f>
        <v>0</v>
      </c>
      <c r="AI209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  <c r="AK209" s="101">
        <v>8.0000000000000002E-3</v>
      </c>
      <c r="AL209" s="102"/>
    </row>
    <row r="210" spans="1:38" x14ac:dyDescent="0.55000000000000004">
      <c r="A210" t="s">
        <v>457</v>
      </c>
      <c r="B210" t="s">
        <v>242</v>
      </c>
      <c r="C210" t="s">
        <v>432</v>
      </c>
      <c r="D210" s="58">
        <f>_xlfn.XLOOKUP($B210, 'Prioritization calculation'!D:D, 'Prioritization calculation'!X:X, "")</f>
        <v>1</v>
      </c>
      <c r="E210" s="58">
        <v>4</v>
      </c>
      <c r="F210" s="58">
        <v>4</v>
      </c>
      <c r="G210" s="58" t="s">
        <v>521</v>
      </c>
      <c r="H210" s="58">
        <v>68207</v>
      </c>
      <c r="I210" s="58">
        <v>130</v>
      </c>
      <c r="J210" s="58">
        <v>130</v>
      </c>
      <c r="K210" s="58"/>
      <c r="L210" s="58">
        <v>835</v>
      </c>
      <c r="M210" s="58">
        <v>33523</v>
      </c>
      <c r="N210" s="58">
        <v>772.43316412859565</v>
      </c>
      <c r="O210" s="97">
        <f>SUM(Table24[[#This Row],[SHL_PIN_IDPs]:[SHL_PIN_NDP]])</f>
        <v>76308</v>
      </c>
      <c r="P210" s="98">
        <v>42139</v>
      </c>
      <c r="Q210" s="98">
        <v>21071</v>
      </c>
      <c r="R210" s="98">
        <v>13098</v>
      </c>
      <c r="S210" s="98">
        <f>ROUND(SUM(Table24[[#This Row],[SHL_TAR_IDPs]:[SHL_TAR_NDP]]),0)</f>
        <v>52436</v>
      </c>
      <c r="T210" s="48">
        <f>SUM(Table24[[#This Row],[HIDE IDP]:[HIDE NDP]])</f>
        <v>52435.6</v>
      </c>
      <c r="U210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33711</v>
      </c>
      <c r="V210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13485.6</v>
      </c>
      <c r="W210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5239</v>
      </c>
      <c r="X210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33711</v>
      </c>
      <c r="Y210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13485.6</v>
      </c>
      <c r="Z210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5239</v>
      </c>
      <c r="AA210" s="49">
        <f>ROUND($P$8*(Table24[[#This Row],[SHL_TAR_IDPs]]*$AA$3+Table24[[#This Row],[SHL_TAR_HC]]*$AA$4+Table24[[#This Row],[SHL_TAR_NDP]]*$AA$5)/$AA$18,0)</f>
        <v>4457</v>
      </c>
      <c r="AB210" s="49">
        <f>ROUND($P$8*(Table24[[#This Row],[SHL_TAR_IDPs]]*$AB$3+Table24[[#This Row],[SHL_TAR_HC]]*$AB$4+Table24[[#This Row],[SHL_TAR_NDP]]*$AB$5)/$AB$18,0)</f>
        <v>4457</v>
      </c>
      <c r="AC210" s="49">
        <f>ROUND($Q$8*(Table24[[#This Row],[SHL_TAR_IDPs]]*$AC$3+Table24[[#This Row],[SHL_TAR_HC]]*$AC$4+Table24[[#This Row],[SHL_TAR_NDP]]*$AC$5)/$AC$18,0)</f>
        <v>337</v>
      </c>
      <c r="AD210" s="49">
        <f>ROUND($Q$8*(Table24[[#This Row],[SHL_TAR_IDPs]]*$AD$3+Table24[[#This Row],[SHL_TAR_HC]]*$AD$4+Table24[[#This Row],[SHL_TAR_NDP]]*$AD$5)/$AD$18,0)</f>
        <v>337</v>
      </c>
      <c r="AE210" s="49">
        <f>ROUND($Q$8*(Table24[[#This Row],[SHL_TAR_IDPs]]*$AE$3+Table24[[#This Row],[SHL_TAR_HC]]*$AE$4+Table24[[#This Row],[SHL_TAR_NDP]]*$AE$5)/$AE$18,0)</f>
        <v>524</v>
      </c>
      <c r="AF210" s="49">
        <f>ROUND($Q$8*(Table24[[#This Row],[SHL_TAR_IDPs]]*$AF$3+Table24[[#This Row],[SHL_TAR_HC]]*$AF$4+Table24[[#This Row],[SHL_TAR_NDP]]*$AF$5)/$AF$18,0)</f>
        <v>1049</v>
      </c>
      <c r="AG210" s="49">
        <f>ROUND($Q$8*(Table24[[#This Row],[SHL_TAR_IDPs]]*$AG$3+Table24[[#This Row],[SHL_TAR_HC]]*$AG$4+Table24[[#This Row],[SHL_TAR_NDP]]*$AG$5)/$AG$18,0)</f>
        <v>2187</v>
      </c>
      <c r="AH210" s="49">
        <f>ROUND($Q$8*(Table24[[#This Row],[SHL_TAR_IDPs]]*$AH$3+Table24[[#This Row],[SHL_TAR_HC]]*$AH$4+Table24[[#This Row],[SHL_TAR_NDP]]*$AH$5)/$AH$18,0)</f>
        <v>809</v>
      </c>
      <c r="AI210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  <c r="AK210" s="101">
        <v>2.1000000000000001E-2</v>
      </c>
      <c r="AL210" s="102"/>
    </row>
    <row r="211" spans="1:38" x14ac:dyDescent="0.55000000000000004">
      <c r="A211" t="s">
        <v>457</v>
      </c>
      <c r="B211" t="s">
        <v>243</v>
      </c>
      <c r="C211" t="s">
        <v>433</v>
      </c>
      <c r="D211" s="58">
        <f>_xlfn.XLOOKUP($B211, 'Prioritization calculation'!D:D, 'Prioritization calculation'!X:X, "")</f>
        <v>3</v>
      </c>
      <c r="E211" s="58">
        <v>5</v>
      </c>
      <c r="F211" s="58">
        <v>3</v>
      </c>
      <c r="G211" s="58" t="s">
        <v>521</v>
      </c>
      <c r="H211" s="58">
        <v>69189</v>
      </c>
      <c r="I211" s="58">
        <v>71410</v>
      </c>
      <c r="J211" s="58">
        <v>3750</v>
      </c>
      <c r="K211" s="58">
        <v>42700</v>
      </c>
      <c r="L211" s="58">
        <v>81075</v>
      </c>
      <c r="M211" s="58">
        <v>41634</v>
      </c>
      <c r="N211" s="58">
        <v>32450.227563925553</v>
      </c>
      <c r="O211" s="97">
        <f>SUM(Table24[[#This Row],[SHL_PIN_IDPs]:[SHL_PIN_NDP]])</f>
        <v>77980</v>
      </c>
      <c r="P211" s="98">
        <v>55796</v>
      </c>
      <c r="Q211" s="98">
        <v>18600</v>
      </c>
      <c r="R211" s="98">
        <v>3584</v>
      </c>
      <c r="S211" s="98">
        <f>ROUND(SUM(Table24[[#This Row],[SHL_TAR_IDPs]:[SHL_TAR_NDP]]),0)</f>
        <v>43481</v>
      </c>
      <c r="T211" s="48">
        <f>SUM(Table24[[#This Row],[HIDE IDP]:[HIDE NDP]])</f>
        <v>43481</v>
      </c>
      <c r="U211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33478</v>
      </c>
      <c r="V211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8928</v>
      </c>
      <c r="W211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1075</v>
      </c>
      <c r="X211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33478</v>
      </c>
      <c r="Y211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8928</v>
      </c>
      <c r="Z211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1075</v>
      </c>
      <c r="AA211" s="49">
        <f>ROUND($P$8*(Table24[[#This Row],[SHL_TAR_IDPs]]*$AA$3+Table24[[#This Row],[SHL_TAR_HC]]*$AA$4+Table24[[#This Row],[SHL_TAR_NDP]]*$AA$5)/$AA$18,0)</f>
        <v>3696</v>
      </c>
      <c r="AB211" s="49">
        <f>ROUND($P$8*(Table24[[#This Row],[SHL_TAR_IDPs]]*$AB$3+Table24[[#This Row],[SHL_TAR_HC]]*$AB$4+Table24[[#This Row],[SHL_TAR_NDP]]*$AB$5)/$AB$18,0)</f>
        <v>3696</v>
      </c>
      <c r="AC211" s="49">
        <f>ROUND($Q$8*(Table24[[#This Row],[SHL_TAR_IDPs]]*$AC$3+Table24[[#This Row],[SHL_TAR_HC]]*$AC$4+Table24[[#This Row],[SHL_TAR_NDP]]*$AC$5)/$AC$18,0)</f>
        <v>335</v>
      </c>
      <c r="AD211" s="49">
        <f>ROUND($Q$8*(Table24[[#This Row],[SHL_TAR_IDPs]]*$AD$3+Table24[[#This Row],[SHL_TAR_HC]]*$AD$4+Table24[[#This Row],[SHL_TAR_NDP]]*$AD$5)/$AD$18,0)</f>
        <v>335</v>
      </c>
      <c r="AE211" s="49">
        <f>ROUND($Q$8*(Table24[[#This Row],[SHL_TAR_IDPs]]*$AE$3+Table24[[#This Row],[SHL_TAR_HC]]*$AE$4+Table24[[#This Row],[SHL_TAR_NDP]]*$AE$5)/$AE$18,0)</f>
        <v>435</v>
      </c>
      <c r="AF211" s="49">
        <f>ROUND($Q$8*(Table24[[#This Row],[SHL_TAR_IDPs]]*$AF$3+Table24[[#This Row],[SHL_TAR_HC]]*$AF$4+Table24[[#This Row],[SHL_TAR_NDP]]*$AF$5)/$AF$18,0)</f>
        <v>870</v>
      </c>
      <c r="AG211" s="49">
        <f>ROUND($Q$8*(Table24[[#This Row],[SHL_TAR_IDPs]]*$AG$3+Table24[[#This Row],[SHL_TAR_HC]]*$AG$4+Table24[[#This Row],[SHL_TAR_NDP]]*$AG$5)/$AG$18,0)</f>
        <v>1615</v>
      </c>
      <c r="AH211" s="49">
        <f>ROUND($Q$8*(Table24[[#This Row],[SHL_TAR_IDPs]]*$AH$3+Table24[[#This Row],[SHL_TAR_HC]]*$AH$4+Table24[[#This Row],[SHL_TAR_NDP]]*$AH$5)/$AH$18,0)</f>
        <v>759</v>
      </c>
      <c r="AI211" s="49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>385</v>
      </c>
      <c r="AK211" s="101">
        <v>7.0000000000000001E-3</v>
      </c>
      <c r="AL211" s="102"/>
    </row>
    <row r="212" spans="1:38" x14ac:dyDescent="0.55000000000000004">
      <c r="A212" t="s">
        <v>457</v>
      </c>
      <c r="B212" t="s">
        <v>244</v>
      </c>
      <c r="C212" t="s">
        <v>434</v>
      </c>
      <c r="D212" s="58">
        <f>_xlfn.XLOOKUP($B212, 'Prioritization calculation'!D:D, 'Prioritization calculation'!X:X, "")</f>
        <v>5</v>
      </c>
      <c r="E212" s="58">
        <v>4</v>
      </c>
      <c r="F212" s="58">
        <v>4</v>
      </c>
      <c r="G212" s="58" t="s">
        <v>572</v>
      </c>
      <c r="H212" s="58">
        <v>30674</v>
      </c>
      <c r="I212" s="58">
        <v>0</v>
      </c>
      <c r="J212" s="58">
        <v>0</v>
      </c>
      <c r="K212" s="58"/>
      <c r="L212" s="58">
        <v>475</v>
      </c>
      <c r="M212" s="58">
        <v>4678</v>
      </c>
      <c r="N212" s="58">
        <v>413.55199730321931</v>
      </c>
      <c r="O212" s="97">
        <f>SUM(Table24[[#This Row],[SHL_PIN_IDPs]:[SHL_PIN_NDP]])</f>
        <v>62542</v>
      </c>
      <c r="P212" s="98">
        <v>11969</v>
      </c>
      <c r="Q212" s="98">
        <v>50573</v>
      </c>
      <c r="R212" s="98">
        <v>0</v>
      </c>
      <c r="S212" s="98">
        <f>ROUND(SUM(Table24[[#This Row],[SHL_TAR_IDPs]:[SHL_TAR_NDP]]),0)</f>
        <v>5243</v>
      </c>
      <c r="T212" s="48">
        <f>SUM(Table24[[#This Row],[HIDE IDP]:[HIDE NDP]])</f>
        <v>5242.6000000000004</v>
      </c>
      <c r="U212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1197</v>
      </c>
      <c r="V212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4045.6000000000004</v>
      </c>
      <c r="W212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0</v>
      </c>
      <c r="X212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1197</v>
      </c>
      <c r="Y212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4045.6000000000004</v>
      </c>
      <c r="Z212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212" s="49">
        <f>ROUND($P$8*(Table24[[#This Row],[SHL_TAR_IDPs]]*$AA$3+Table24[[#This Row],[SHL_TAR_HC]]*$AA$4+Table24[[#This Row],[SHL_TAR_NDP]]*$AA$5)/$AA$18,0)</f>
        <v>446</v>
      </c>
      <c r="AB212" s="49">
        <f>ROUND($P$8*(Table24[[#This Row],[SHL_TAR_IDPs]]*$AB$3+Table24[[#This Row],[SHL_TAR_HC]]*$AB$4+Table24[[#This Row],[SHL_TAR_NDP]]*$AB$5)/$AB$18,0)</f>
        <v>446</v>
      </c>
      <c r="AC212" s="49">
        <f>ROUND($Q$8*(Table24[[#This Row],[SHL_TAR_IDPs]]*$AC$3+Table24[[#This Row],[SHL_TAR_HC]]*$AC$4+Table24[[#This Row],[SHL_TAR_NDP]]*$AC$5)/$AC$18,0)</f>
        <v>12</v>
      </c>
      <c r="AD212" s="49">
        <f>ROUND($Q$8*(Table24[[#This Row],[SHL_TAR_IDPs]]*$AD$3+Table24[[#This Row],[SHL_TAR_HC]]*$AD$4+Table24[[#This Row],[SHL_TAR_NDP]]*$AD$5)/$AD$18,0)</f>
        <v>12</v>
      </c>
      <c r="AE212" s="49">
        <f>ROUND($Q$8*(Table24[[#This Row],[SHL_TAR_IDPs]]*$AE$3+Table24[[#This Row],[SHL_TAR_HC]]*$AE$4+Table24[[#This Row],[SHL_TAR_NDP]]*$AE$5)/$AE$18,0)</f>
        <v>52</v>
      </c>
      <c r="AF212" s="49">
        <f>ROUND($Q$8*(Table24[[#This Row],[SHL_TAR_IDPs]]*$AF$3+Table24[[#This Row],[SHL_TAR_HC]]*$AF$4+Table24[[#This Row],[SHL_TAR_NDP]]*$AF$5)/$AF$18,0)</f>
        <v>105</v>
      </c>
      <c r="AG212" s="49">
        <f>ROUND($Q$8*(Table24[[#This Row],[SHL_TAR_IDPs]]*$AG$3+Table24[[#This Row],[SHL_TAR_HC]]*$AG$4+Table24[[#This Row],[SHL_TAR_NDP]]*$AG$5)/$AG$18,0)</f>
        <v>279</v>
      </c>
      <c r="AH212" s="49">
        <f>ROUND($Q$8*(Table24[[#This Row],[SHL_TAR_IDPs]]*$AH$3+Table24[[#This Row],[SHL_TAR_HC]]*$AH$4+Table24[[#This Row],[SHL_TAR_NDP]]*$AH$5)/$AH$18,0)</f>
        <v>64</v>
      </c>
      <c r="AI212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  <c r="AK212" s="101">
        <v>8.9999999999999993E-3</v>
      </c>
      <c r="AL212" s="102"/>
    </row>
    <row r="213" spans="1:38" x14ac:dyDescent="0.55000000000000004">
      <c r="A213" t="s">
        <v>457</v>
      </c>
      <c r="B213" t="s">
        <v>245</v>
      </c>
      <c r="C213" t="s">
        <v>435</v>
      </c>
      <c r="D213" s="58">
        <f>_xlfn.XLOOKUP($B213, 'Prioritization calculation'!D:D, 'Prioritization calculation'!X:X, "")</f>
        <v>4</v>
      </c>
      <c r="E213" s="58">
        <v>5</v>
      </c>
      <c r="F213" s="58">
        <v>3</v>
      </c>
      <c r="G213" s="58" t="s">
        <v>572</v>
      </c>
      <c r="H213" s="58">
        <v>46030</v>
      </c>
      <c r="I213" s="58">
        <v>280165</v>
      </c>
      <c r="J213" s="58">
        <v>1150</v>
      </c>
      <c r="K213" s="58">
        <v>93730</v>
      </c>
      <c r="L213" s="58">
        <v>13462</v>
      </c>
      <c r="M213" s="58">
        <v>6262</v>
      </c>
      <c r="N213" s="58">
        <v>21345.413728022249</v>
      </c>
      <c r="O213" s="97">
        <f>SUM(Table24[[#This Row],[SHL_PIN_IDPs]:[SHL_PIN_NDP]])</f>
        <v>54682</v>
      </c>
      <c r="P213" s="98">
        <v>30237</v>
      </c>
      <c r="Q213" s="98">
        <v>10079</v>
      </c>
      <c r="R213" s="98">
        <v>14366</v>
      </c>
      <c r="S213" s="98">
        <f>ROUND(SUM(Table24[[#This Row],[SHL_TAR_IDPs]:[SHL_TAR_NDP]]),0)</f>
        <v>18194</v>
      </c>
      <c r="T213" s="48">
        <f>SUM(Table24[[#This Row],[HIDE IDP]:[HIDE NDP]])</f>
        <v>18193.599999999999</v>
      </c>
      <c r="U213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12095</v>
      </c>
      <c r="V213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3225.6000000000004</v>
      </c>
      <c r="W213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2873</v>
      </c>
      <c r="X213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12095</v>
      </c>
      <c r="Y213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3225.6000000000004</v>
      </c>
      <c r="Z213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2873</v>
      </c>
      <c r="AA213" s="49">
        <f>ROUND($P$8*(Table24[[#This Row],[SHL_TAR_IDPs]]*$AA$3+Table24[[#This Row],[SHL_TAR_HC]]*$AA$4+Table24[[#This Row],[SHL_TAR_NDP]]*$AA$5)/$AA$18,0)</f>
        <v>1546</v>
      </c>
      <c r="AB213" s="49">
        <f>ROUND($P$8*(Table24[[#This Row],[SHL_TAR_IDPs]]*$AB$3+Table24[[#This Row],[SHL_TAR_HC]]*$AB$4+Table24[[#This Row],[SHL_TAR_NDP]]*$AB$5)/$AB$18,0)</f>
        <v>1546</v>
      </c>
      <c r="AC213" s="49">
        <f>ROUND($Q$8*(Table24[[#This Row],[SHL_TAR_IDPs]]*$AC$3+Table24[[#This Row],[SHL_TAR_HC]]*$AC$4+Table24[[#This Row],[SHL_TAR_NDP]]*$AC$5)/$AC$18,0)</f>
        <v>121</v>
      </c>
      <c r="AD213" s="49">
        <f>ROUND($Q$8*(Table24[[#This Row],[SHL_TAR_IDPs]]*$AD$3+Table24[[#This Row],[SHL_TAR_HC]]*$AD$4+Table24[[#This Row],[SHL_TAR_NDP]]*$AD$5)/$AD$18,0)</f>
        <v>121</v>
      </c>
      <c r="AE213" s="49">
        <f>ROUND($Q$8*(Table24[[#This Row],[SHL_TAR_IDPs]]*$AE$3+Table24[[#This Row],[SHL_TAR_HC]]*$AE$4+Table24[[#This Row],[SHL_TAR_NDP]]*$AE$5)/$AE$18,0)</f>
        <v>182</v>
      </c>
      <c r="AF213" s="49">
        <f>ROUND($Q$8*(Table24[[#This Row],[SHL_TAR_IDPs]]*$AF$3+Table24[[#This Row],[SHL_TAR_HC]]*$AF$4+Table24[[#This Row],[SHL_TAR_NDP]]*$AF$5)/$AF$18,0)</f>
        <v>364</v>
      </c>
      <c r="AG213" s="49">
        <f>ROUND($Q$8*(Table24[[#This Row],[SHL_TAR_IDPs]]*$AG$3+Table24[[#This Row],[SHL_TAR_HC]]*$AG$4+Table24[[#This Row],[SHL_TAR_NDP]]*$AG$5)/$AG$18,0)</f>
        <v>757</v>
      </c>
      <c r="AH213" s="49">
        <f>ROUND($Q$8*(Table24[[#This Row],[SHL_TAR_IDPs]]*$AH$3+Table24[[#This Row],[SHL_TAR_HC]]*$AH$4+Table24[[#This Row],[SHL_TAR_NDP]]*$AH$5)/$AH$18,0)</f>
        <v>274</v>
      </c>
      <c r="AI213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  <c r="AK213" s="101">
        <v>8.0000000000000002E-3</v>
      </c>
      <c r="AL213" s="102"/>
    </row>
    <row r="214" spans="1:38" x14ac:dyDescent="0.55000000000000004">
      <c r="A214" t="s">
        <v>457</v>
      </c>
      <c r="B214" t="s">
        <v>246</v>
      </c>
      <c r="C214" t="s">
        <v>436</v>
      </c>
      <c r="D214" s="58">
        <f>_xlfn.XLOOKUP($B214, 'Prioritization calculation'!D:D, 'Prioritization calculation'!X:X, "")</f>
        <v>3</v>
      </c>
      <c r="E214" s="58">
        <v>3</v>
      </c>
      <c r="F214" s="58">
        <v>3</v>
      </c>
      <c r="G214" s="58" t="s">
        <v>521</v>
      </c>
      <c r="H214" s="58">
        <v>4085</v>
      </c>
      <c r="I214" s="58">
        <v>0</v>
      </c>
      <c r="J214" s="58">
        <v>0</v>
      </c>
      <c r="K214" s="58"/>
      <c r="L214" s="58">
        <v>16555</v>
      </c>
      <c r="M214" s="58">
        <v>10591</v>
      </c>
      <c r="N214" s="58">
        <v>75</v>
      </c>
      <c r="O214" s="97">
        <f>SUM(Table24[[#This Row],[SHL_PIN_IDPs]:[SHL_PIN_NDP]])</f>
        <v>44783</v>
      </c>
      <c r="P214" s="98">
        <v>0</v>
      </c>
      <c r="Q214" s="98">
        <v>44783</v>
      </c>
      <c r="R214" s="98">
        <v>0</v>
      </c>
      <c r="S214" s="98">
        <f>ROUND(SUM(Table24[[#This Row],[SHL_TAR_IDPs]:[SHL_TAR_NDP]]),0)</f>
        <v>7166</v>
      </c>
      <c r="T214" s="48">
        <f>SUM(Table24[[#This Row],[HIDE IDP]:[HIDE NDP]])</f>
        <v>7165.6</v>
      </c>
      <c r="U214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0</v>
      </c>
      <c r="V214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7165.6</v>
      </c>
      <c r="W214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0</v>
      </c>
      <c r="X214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0</v>
      </c>
      <c r="Y214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7165.6</v>
      </c>
      <c r="Z214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214" s="49">
        <f>ROUND($P$8*(Table24[[#This Row],[SHL_TAR_IDPs]]*$AA$3+Table24[[#This Row],[SHL_TAR_HC]]*$AA$4+Table24[[#This Row],[SHL_TAR_NDP]]*$AA$5)/$AA$18,0)</f>
        <v>609</v>
      </c>
      <c r="AB214" s="49">
        <f>ROUND($P$8*(Table24[[#This Row],[SHL_TAR_IDPs]]*$AB$3+Table24[[#This Row],[SHL_TAR_HC]]*$AB$4+Table24[[#This Row],[SHL_TAR_NDP]]*$AB$5)/$AB$18,0)</f>
        <v>609</v>
      </c>
      <c r="AC214" s="49">
        <f>ROUND($Q$8*(Table24[[#This Row],[SHL_TAR_IDPs]]*$AC$3+Table24[[#This Row],[SHL_TAR_HC]]*$AC$4+Table24[[#This Row],[SHL_TAR_NDP]]*$AC$5)/$AC$18,0)</f>
        <v>0</v>
      </c>
      <c r="AD214" s="49">
        <f>ROUND($Q$8*(Table24[[#This Row],[SHL_TAR_IDPs]]*$AD$3+Table24[[#This Row],[SHL_TAR_HC]]*$AD$4+Table24[[#This Row],[SHL_TAR_NDP]]*$AD$5)/$AD$18,0)</f>
        <v>0</v>
      </c>
      <c r="AE214" s="49">
        <f>ROUND($Q$8*(Table24[[#This Row],[SHL_TAR_IDPs]]*$AE$3+Table24[[#This Row],[SHL_TAR_HC]]*$AE$4+Table24[[#This Row],[SHL_TAR_NDP]]*$AE$5)/$AE$18,0)</f>
        <v>72</v>
      </c>
      <c r="AF214" s="49">
        <f>ROUND($Q$8*(Table24[[#This Row],[SHL_TAR_IDPs]]*$AF$3+Table24[[#This Row],[SHL_TAR_HC]]*$AF$4+Table24[[#This Row],[SHL_TAR_NDP]]*$AF$5)/$AF$18,0)</f>
        <v>143</v>
      </c>
      <c r="AG214" s="49">
        <f>ROUND($Q$8*(Table24[[#This Row],[SHL_TAR_IDPs]]*$AG$3+Table24[[#This Row],[SHL_TAR_HC]]*$AG$4+Table24[[#This Row],[SHL_TAR_NDP]]*$AG$5)/$AG$18,0)</f>
        <v>430</v>
      </c>
      <c r="AH214" s="49">
        <f>ROUND($Q$8*(Table24[[#This Row],[SHL_TAR_IDPs]]*$AH$3+Table24[[#This Row],[SHL_TAR_HC]]*$AH$4+Table24[[#This Row],[SHL_TAR_NDP]]*$AH$5)/$AH$18,0)</f>
        <v>72</v>
      </c>
      <c r="AI214" s="49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>36</v>
      </c>
      <c r="AK214" s="101">
        <v>8.0000000000000002E-3</v>
      </c>
      <c r="AL214" s="102"/>
    </row>
    <row r="215" spans="1:38" x14ac:dyDescent="0.55000000000000004">
      <c r="A215" t="s">
        <v>457</v>
      </c>
      <c r="B215" t="s">
        <v>247</v>
      </c>
      <c r="C215" t="s">
        <v>437</v>
      </c>
      <c r="D215" s="58">
        <f>_xlfn.XLOOKUP($B215, 'Prioritization calculation'!D:D, 'Prioritization calculation'!X:X, "")</f>
        <v>1</v>
      </c>
      <c r="E215" s="58">
        <v>4</v>
      </c>
      <c r="F215" s="58">
        <v>3</v>
      </c>
      <c r="G215" s="58" t="s">
        <v>521</v>
      </c>
      <c r="H215" s="58">
        <v>18089</v>
      </c>
      <c r="I215" s="58">
        <v>1030</v>
      </c>
      <c r="J215" s="58">
        <v>7645</v>
      </c>
      <c r="K215" s="58"/>
      <c r="L215" s="58">
        <v>5905</v>
      </c>
      <c r="M215" s="58">
        <v>12857</v>
      </c>
      <c r="N215" s="58">
        <v>961.62865221489176</v>
      </c>
      <c r="O215" s="97">
        <f>SUM(Table24[[#This Row],[SHL_PIN_IDPs]:[SHL_PIN_NDP]])</f>
        <v>30279</v>
      </c>
      <c r="P215" s="98">
        <v>8502</v>
      </c>
      <c r="Q215" s="98">
        <v>4251</v>
      </c>
      <c r="R215" s="98">
        <v>17526</v>
      </c>
      <c r="S215" s="98">
        <f>ROUND(SUM(Table24[[#This Row],[SHL_TAR_IDPs]:[SHL_TAR_NDP]]),0)</f>
        <v>16533</v>
      </c>
      <c r="T215" s="48">
        <f>SUM(Table24[[#This Row],[HIDE IDP]:[HIDE NDP]])</f>
        <v>16533.3</v>
      </c>
      <c r="U215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6802</v>
      </c>
      <c r="V215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2720.8</v>
      </c>
      <c r="W215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7010.5</v>
      </c>
      <c r="X215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6802</v>
      </c>
      <c r="Y215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2720.8</v>
      </c>
      <c r="Z215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7010.5</v>
      </c>
      <c r="AA215" s="49">
        <f>ROUND($P$8*(Table24[[#This Row],[SHL_TAR_IDPs]]*$AA$3+Table24[[#This Row],[SHL_TAR_HC]]*$AA$4+Table24[[#This Row],[SHL_TAR_NDP]]*$AA$5)/$AA$18,0)</f>
        <v>1405</v>
      </c>
      <c r="AB215" s="49">
        <f>ROUND($P$8*(Table24[[#This Row],[SHL_TAR_IDPs]]*$AB$3+Table24[[#This Row],[SHL_TAR_HC]]*$AB$4+Table24[[#This Row],[SHL_TAR_NDP]]*$AB$5)/$AB$18,0)</f>
        <v>1405</v>
      </c>
      <c r="AC215" s="49">
        <f>ROUND($Q$8*(Table24[[#This Row],[SHL_TAR_IDPs]]*$AC$3+Table24[[#This Row],[SHL_TAR_HC]]*$AC$4+Table24[[#This Row],[SHL_TAR_NDP]]*$AC$5)/$AC$18,0)</f>
        <v>68</v>
      </c>
      <c r="AD215" s="49">
        <f>ROUND($Q$8*(Table24[[#This Row],[SHL_TAR_IDPs]]*$AD$3+Table24[[#This Row],[SHL_TAR_HC]]*$AD$4+Table24[[#This Row],[SHL_TAR_NDP]]*$AD$5)/$AD$18,0)</f>
        <v>68</v>
      </c>
      <c r="AE215" s="49">
        <f>ROUND($Q$8*(Table24[[#This Row],[SHL_TAR_IDPs]]*$AE$3+Table24[[#This Row],[SHL_TAR_HC]]*$AE$4+Table24[[#This Row],[SHL_TAR_NDP]]*$AE$5)/$AE$18,0)</f>
        <v>165</v>
      </c>
      <c r="AF215" s="49">
        <f>ROUND($Q$8*(Table24[[#This Row],[SHL_TAR_IDPs]]*$AF$3+Table24[[#This Row],[SHL_TAR_HC]]*$AF$4+Table24[[#This Row],[SHL_TAR_NDP]]*$AF$5)/$AF$18,0)</f>
        <v>331</v>
      </c>
      <c r="AG215" s="49">
        <f>ROUND($Q$8*(Table24[[#This Row],[SHL_TAR_IDPs]]*$AG$3+Table24[[#This Row],[SHL_TAR_HC]]*$AG$4+Table24[[#This Row],[SHL_TAR_NDP]]*$AG$5)/$AG$18,0)</f>
        <v>858</v>
      </c>
      <c r="AH215" s="49">
        <f>ROUND($Q$8*(Table24[[#This Row],[SHL_TAR_IDPs]]*$AH$3+Table24[[#This Row],[SHL_TAR_HC]]*$AH$4+Table24[[#This Row],[SHL_TAR_NDP]]*$AH$5)/$AH$18,0)</f>
        <v>163</v>
      </c>
      <c r="AI215" s="49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>117</v>
      </c>
      <c r="AK215" s="101">
        <v>5.0000000000000001E-3</v>
      </c>
      <c r="AL215" s="102"/>
    </row>
    <row r="216" spans="1:38" x14ac:dyDescent="0.55000000000000004">
      <c r="A216" t="s">
        <v>457</v>
      </c>
      <c r="B216" t="s">
        <v>248</v>
      </c>
      <c r="C216" t="s">
        <v>438</v>
      </c>
      <c r="D216" s="58">
        <f>_xlfn.XLOOKUP($B216, 'Prioritization calculation'!D:D, 'Prioritization calculation'!X:X, "")</f>
        <v>1</v>
      </c>
      <c r="E216" s="58">
        <v>3</v>
      </c>
      <c r="F216" s="58">
        <v>3</v>
      </c>
      <c r="G216" s="58" t="s">
        <v>521</v>
      </c>
      <c r="H216" s="58">
        <v>13542</v>
      </c>
      <c r="I216" s="58">
        <v>5675</v>
      </c>
      <c r="J216" s="58">
        <v>4565</v>
      </c>
      <c r="K216" s="58"/>
      <c r="L216" s="58">
        <v>580</v>
      </c>
      <c r="M216" s="58">
        <v>12688</v>
      </c>
      <c r="N216" s="58">
        <v>1963.7964497041421</v>
      </c>
      <c r="O216" s="97">
        <f>SUM(Table24[[#This Row],[SHL_PIN_IDPs]:[SHL_PIN_NDP]])</f>
        <v>24704</v>
      </c>
      <c r="P216" s="98">
        <v>8688</v>
      </c>
      <c r="Q216" s="98">
        <v>16016</v>
      </c>
      <c r="R216" s="98">
        <v>0</v>
      </c>
      <c r="S216" s="98">
        <f>ROUND(SUM(Table24[[#This Row],[SHL_TAR_IDPs]:[SHL_TAR_NDP]]),0)</f>
        <v>12901</v>
      </c>
      <c r="T216" s="48">
        <f>SUM(Table24[[#This Row],[HIDE IDP]:[HIDE NDP]])</f>
        <v>12901</v>
      </c>
      <c r="U216" s="48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5213</v>
      </c>
      <c r="V216" s="48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7688</v>
      </c>
      <c r="W216" s="48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0</v>
      </c>
      <c r="X216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IDP]],0)</f>
        <v>5213</v>
      </c>
      <c r="Y216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HC]],0)</f>
        <v>7688</v>
      </c>
      <c r="Z216" s="48">
        <f>IF(OR(Table24[[#This Row],[HIDE TAR]]/5 &gt; 1000, AND(0 &lt; Table24[[#This Row],[HIDE TAR]]/5, Table24[[#This Row],[HIDE TAR]]/5 &lt; 1000, OR(Table24[[#This Row],[People Reached (post April 15)]] &lt;&gt; 0, Table24[[#This Row],[3-Year People Reached]] &gt;= 10000, Table24[[#This Row],[New 
Displacement]] &gt; 20000))), Table24[[#This Row],[HIDE NDP]],0)</f>
        <v>0</v>
      </c>
      <c r="AA216" s="49">
        <f>ROUND($P$8*(Table24[[#This Row],[SHL_TAR_IDPs]]*$AA$3+Table24[[#This Row],[SHL_TAR_HC]]*$AA$4+Table24[[#This Row],[SHL_TAR_NDP]]*$AA$5)/$AA$18,0)</f>
        <v>1097</v>
      </c>
      <c r="AB216" s="49">
        <f>ROUND($P$8*(Table24[[#This Row],[SHL_TAR_IDPs]]*$AB$3+Table24[[#This Row],[SHL_TAR_HC]]*$AB$4+Table24[[#This Row],[SHL_TAR_NDP]]*$AB$5)/$AB$18,0)</f>
        <v>1097</v>
      </c>
      <c r="AC216" s="49">
        <f>ROUND($Q$8*(Table24[[#This Row],[SHL_TAR_IDPs]]*$AC$3+Table24[[#This Row],[SHL_TAR_HC]]*$AC$4+Table24[[#This Row],[SHL_TAR_NDP]]*$AC$5)/$AC$18,0)</f>
        <v>52</v>
      </c>
      <c r="AD216" s="49">
        <f>ROUND($Q$8*(Table24[[#This Row],[SHL_TAR_IDPs]]*$AD$3+Table24[[#This Row],[SHL_TAR_HC]]*$AD$4+Table24[[#This Row],[SHL_TAR_NDP]]*$AD$5)/$AD$18,0)</f>
        <v>52</v>
      </c>
      <c r="AE216" s="49">
        <f>ROUND($Q$8*(Table24[[#This Row],[SHL_TAR_IDPs]]*$AE$3+Table24[[#This Row],[SHL_TAR_HC]]*$AE$4+Table24[[#This Row],[SHL_TAR_NDP]]*$AE$5)/$AE$18,0)</f>
        <v>129</v>
      </c>
      <c r="AF216" s="49">
        <f>ROUND($Q$8*(Table24[[#This Row],[SHL_TAR_IDPs]]*$AF$3+Table24[[#This Row],[SHL_TAR_HC]]*$AF$4+Table24[[#This Row],[SHL_TAR_NDP]]*$AF$5)/$AF$18,0)</f>
        <v>258</v>
      </c>
      <c r="AG216" s="49">
        <f>ROUND($Q$8*(Table24[[#This Row],[SHL_TAR_IDPs]]*$AG$3+Table24[[#This Row],[SHL_TAR_HC]]*$AG$4+Table24[[#This Row],[SHL_TAR_NDP]]*$AG$5)/$AG$18,0)</f>
        <v>618</v>
      </c>
      <c r="AH216" s="49">
        <f>ROUND($Q$8*(Table24[[#This Row],[SHL_TAR_IDPs]]*$AH$3+Table24[[#This Row],[SHL_TAR_HC]]*$AH$4+Table24[[#This Row],[SHL_TAR_NDP]]*$AH$5)/$AH$18,0)</f>
        <v>181</v>
      </c>
      <c r="AI216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  <c r="AK216" s="101">
        <v>5.0000000000000001E-3</v>
      </c>
      <c r="AL216" s="102"/>
    </row>
    <row r="217" spans="1:38" x14ac:dyDescent="0.55000000000000004">
      <c r="A217" t="s">
        <v>457</v>
      </c>
      <c r="B217" t="s">
        <v>249</v>
      </c>
      <c r="C217" t="s">
        <v>439</v>
      </c>
      <c r="D217" s="58">
        <f>_xlfn.XLOOKUP($B217, 'Prioritization calculation'!D:D, 'Prioritization calculation'!X:X, "")</f>
        <v>4</v>
      </c>
      <c r="E217" s="58">
        <v>3</v>
      </c>
      <c r="F217" s="58">
        <v>3</v>
      </c>
      <c r="G217" s="58" t="s">
        <v>573</v>
      </c>
      <c r="H217" s="58">
        <v>19348</v>
      </c>
      <c r="I217" s="58">
        <v>0</v>
      </c>
      <c r="J217" s="58">
        <v>0</v>
      </c>
      <c r="K217" s="58"/>
      <c r="L217" s="58">
        <v>7765</v>
      </c>
      <c r="M217" s="58">
        <v>6860</v>
      </c>
      <c r="N217" s="58">
        <v>160.85311871227364</v>
      </c>
      <c r="O217" s="97">
        <f>SUM(Table24[[#This Row],[SHL_PIN_IDPs]:[SHL_PIN_NDP]])</f>
        <v>22894</v>
      </c>
      <c r="P217" s="98">
        <v>7994</v>
      </c>
      <c r="Q217" s="98">
        <v>3997</v>
      </c>
      <c r="R217" s="98">
        <v>10903</v>
      </c>
      <c r="S217" s="98">
        <f>ROUND(SUM(Table24[[#This Row],[SHL_TAR_IDPs]:[SHL_TAR_NDP]]),0)</f>
        <v>12000</v>
      </c>
      <c r="T217" s="100">
        <f>SUM(Table24[[#This Row],[HIDE IDP]:[HIDE NDP]])</f>
        <v>1664</v>
      </c>
      <c r="U217" s="100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799</v>
      </c>
      <c r="V217" s="100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320</v>
      </c>
      <c r="W217" s="100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545</v>
      </c>
      <c r="X217" s="98">
        <v>5000</v>
      </c>
      <c r="Y217" s="98">
        <v>2000</v>
      </c>
      <c r="Z217" s="98">
        <v>5000</v>
      </c>
      <c r="AA217" s="49">
        <f>ROUND($P$8*(Table24[[#This Row],[SHL_TAR_IDPs]]*$AA$3+Table24[[#This Row],[SHL_TAR_HC]]*$AA$4+Table24[[#This Row],[SHL_TAR_NDP]]*$AA$5)/$AA$18,0)</f>
        <v>1020</v>
      </c>
      <c r="AB217" s="49">
        <f>ROUND($P$8*(Table24[[#This Row],[SHL_TAR_IDPs]]*$AB$3+Table24[[#This Row],[SHL_TAR_HC]]*$AB$4+Table24[[#This Row],[SHL_TAR_NDP]]*$AB$5)/$AB$18,0)</f>
        <v>1020</v>
      </c>
      <c r="AC217" s="49">
        <f>ROUND($Q$8*(Table24[[#This Row],[SHL_TAR_IDPs]]*$AC$3+Table24[[#This Row],[SHL_TAR_HC]]*$AC$4+Table24[[#This Row],[SHL_TAR_NDP]]*$AC$5)/$AC$18,0)</f>
        <v>50</v>
      </c>
      <c r="AD217" s="49">
        <f>ROUND($Q$8*(Table24[[#This Row],[SHL_TAR_IDPs]]*$AD$3+Table24[[#This Row],[SHL_TAR_HC]]*$AD$4+Table24[[#This Row],[SHL_TAR_NDP]]*$AD$5)/$AD$18,0)</f>
        <v>50</v>
      </c>
      <c r="AE217" s="49">
        <f>ROUND($Q$8*(Table24[[#This Row],[SHL_TAR_IDPs]]*$AE$3+Table24[[#This Row],[SHL_TAR_HC]]*$AE$4+Table24[[#This Row],[SHL_TAR_NDP]]*$AE$5)/$AE$18,0)</f>
        <v>120</v>
      </c>
      <c r="AF217" s="49">
        <f>ROUND($Q$8*(Table24[[#This Row],[SHL_TAR_IDPs]]*$AF$3+Table24[[#This Row],[SHL_TAR_HC]]*$AF$4+Table24[[#This Row],[SHL_TAR_NDP]]*$AF$5)/$AF$18,0)</f>
        <v>240</v>
      </c>
      <c r="AG217" s="49">
        <f>ROUND($Q$8*(Table24[[#This Row],[SHL_TAR_IDPs]]*$AG$3+Table24[[#This Row],[SHL_TAR_HC]]*$AG$4+Table24[[#This Row],[SHL_TAR_NDP]]*$AG$5)/$AG$18,0)</f>
        <v>620</v>
      </c>
      <c r="AH217" s="49">
        <f>ROUND($Q$8*(Table24[[#This Row],[SHL_TAR_IDPs]]*$AH$3+Table24[[#This Row],[SHL_TAR_HC]]*$AH$4+Table24[[#This Row],[SHL_TAR_NDP]]*$AH$5)/$AH$18,0)</f>
        <v>120</v>
      </c>
      <c r="AI217" s="49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>85</v>
      </c>
      <c r="AK217" s="101">
        <v>5.0000000000000001E-3</v>
      </c>
      <c r="AL217" s="102"/>
    </row>
    <row r="218" spans="1:38" x14ac:dyDescent="0.55000000000000004">
      <c r="A218" t="s">
        <v>457</v>
      </c>
      <c r="B218" t="s">
        <v>250</v>
      </c>
      <c r="C218" t="s">
        <v>440</v>
      </c>
      <c r="D218" s="58">
        <f>_xlfn.XLOOKUP($B218, 'Prioritization calculation'!D:D, 'Prioritization calculation'!X:X, "")</f>
        <v>3</v>
      </c>
      <c r="E218" s="58">
        <v>3</v>
      </c>
      <c r="F218" s="58"/>
      <c r="G218" s="58" t="s">
        <v>521</v>
      </c>
      <c r="H218" s="58">
        <v>17782</v>
      </c>
      <c r="I218" s="58">
        <v>0</v>
      </c>
      <c r="J218" s="58">
        <v>0</v>
      </c>
      <c r="K218" s="58"/>
      <c r="L218" s="58">
        <v>370</v>
      </c>
      <c r="M218" s="58">
        <v>10515</v>
      </c>
      <c r="N218" s="58">
        <v>312.5</v>
      </c>
      <c r="O218" s="97">
        <f>SUM(Table24[[#This Row],[SHL_PIN_IDPs]:[SHL_PIN_NDP]])</f>
        <v>20471</v>
      </c>
      <c r="P218" s="98">
        <v>8026</v>
      </c>
      <c r="Q218" s="98">
        <v>4013</v>
      </c>
      <c r="R218" s="98">
        <v>8432</v>
      </c>
      <c r="S218" s="98">
        <f>ROUND(SUM(Table24[[#This Row],[SHL_TAR_IDPs]:[SHL_TAR_NDP]]),0)</f>
        <v>12000</v>
      </c>
      <c r="T218" s="100">
        <f>SUM(Table24[[#This Row],[HIDE IDP]:[HIDE NDP]])</f>
        <v>3090.4</v>
      </c>
      <c r="U218" s="100">
        <f>$P$3*ROUND(
  IF(AND(Table24[[#This Row],[Priority]]=1, Table24[[#This Row],[SNFI Severity]]=5), Table24[[#This Row],[SHL_PIN_IDPs]]*$B$3,
    IF(AND(Table24[[#This Row],[Priority]]=1, Table24[[#This Row],[SNFI Severity]]=4), Table24[[#This Row],[SHL_PIN_IDPs]]*$B$8,
      IF(AND(Table24[[#This Row],[Priority]]=1, Table24[[#This Row],[SNFI Severity]]=3), Table24[[#This Row],[SHL_PIN_IDPs]]*$B$13,
        IF(AND(Table24[[#This Row],[Priority]]=2, Table24[[#This Row],[SNFI Severity]]=5), Table24[[#This Row],[SHL_PIN_IDPs]]*$B$4,
          IF(AND(Table24[[#This Row],[Priority]]=2, Table24[[#This Row],[SNFI Severity]]=4), Table24[[#This Row],[SHL_PIN_IDPs]]*$B$9,
            IF(AND(Table24[[#This Row],[Priority]]=2, Table24[[#This Row],[SNFI Severity]]=3), Table24[[#This Row],[SHL_PIN_IDPs]]*$B$14,
              IF(AND(Table24[[#This Row],[Priority]]=3, Table24[[#This Row],[SNFI Severity]]=5), Table24[[#This Row],[SHL_PIN_IDPs]]*$B$5,
                IF(AND(Table24[[#This Row],[Priority]]=3, Table24[[#This Row],[SNFI Severity]]=4), Table24[[#This Row],[SHL_PIN_IDPs]]*$B$10,
                  IF(AND(Table24[[#This Row],[Priority]]=3, Table24[[#This Row],[SNFI Severity]]=3), Table24[[#This Row],[SHL_PIN_IDPs]]*$B$15,
                    IF(AND(Table24[[#This Row],[Priority]]=4, Table24[[#This Row],[SNFI Severity]]=5), Table24[[#This Row],[SHL_PIN_IDPs]]*$B$6,
                      IF(AND(Table24[[#This Row],[Priority]]=4, Table24[[#This Row],[SNFI Severity]]=4), Table24[[#This Row],[SHL_PIN_IDPs]]*$B$11,
                        IF(AND(Table24[[#This Row],[Priority]]=4, Table24[[#This Row],[SNFI Severity]]=3), Table24[[#This Row],[SHL_PIN_IDPs]]*$B$16,
                          IF(AND(Table24[[#This Row],[Priority]]=5, Table24[[#This Row],[SNFI Severity]]=5), Table24[[#This Row],[SHL_PIN_IDPs]]*$B$7,
                            IF(AND(Table24[[#This Row],[Priority]]=5, Table24[[#This Row],[SNFI Severity]]=4), Table24[[#This Row],[SHL_PIN_IDPs]]*$B$12,
                              IF(AND(Table24[[#This Row],[Priority]]=5, Table24[[#This Row],[SNFI Severity]]=3), Table24[[#This Row],[SHL_PIN_IDPs]]*$B$17, 0))))))))))))))),
  0)</f>
        <v>1605</v>
      </c>
      <c r="V218" s="100">
        <f>$Q$3*ROUND(
  IF(AND(Table24[[#This Row],[Priority]]=1, Table24[[#This Row],[SNFI Severity]]=5), Table24[[#This Row],[SHL_PIN_HC]]*$B$3,
    IF(AND(Table24[[#This Row],[Priority]]=1, Table24[[#This Row],[SNFI Severity]]=4), Table24[[#This Row],[SHL_PIN_HC]]*$B$8,
      IF(AND(Table24[[#This Row],[Priority]]=1, Table24[[#This Row],[SNFI Severity]]=3), Table24[[#This Row],[SHL_PIN_HC]]*$B$13,
        IF(AND(Table24[[#This Row],[Priority]]=2, Table24[[#This Row],[SNFI Severity]]=5), Table24[[#This Row],[SHL_PIN_HC]]*$B$4,
          IF(AND(Table24[[#This Row],[Priority]]=2, Table24[[#This Row],[SNFI Severity]]=4), Table24[[#This Row],[SHL_PIN_HC]]*$B$9,
            IF(AND(Table24[[#This Row],[Priority]]=2, Table24[[#This Row],[SNFI Severity]]=3), Table24[[#This Row],[SHL_PIN_HC]]*$B$14,
              IF(AND(Table24[[#This Row],[Priority]]=3, Table24[[#This Row],[SNFI Severity]]=5), Table24[[#This Row],[SHL_PIN_HC]]*$B$5,
                IF(AND(Table24[[#This Row],[Priority]]=3, Table24[[#This Row],[SNFI Severity]]=4), Table24[[#This Row],[SHL_PIN_HC]]*$B$10,
                  IF(AND(Table24[[#This Row],[Priority]]=3, Table24[[#This Row],[SNFI Severity]]=3), Table24[[#This Row],[SHL_PIN_HC]]*$B$15,
                    IF(AND(Table24[[#This Row],[Priority]]=4, Table24[[#This Row],[SNFI Severity]]=5), Table24[[#This Row],[SHL_PIN_HC]]*$B$6,
                      IF(AND(Table24[[#This Row],[Priority]]=4, Table24[[#This Row],[SNFI Severity]]=4), Table24[[#This Row],[SHL_PIN_HC]]*$B$11,
                        IF(AND(Table24[[#This Row],[Priority]]=4, Table24[[#This Row],[SNFI Severity]]=3), Table24[[#This Row],[SHL_PIN_HC]]*$B$16,
                          IF(AND(Table24[[#This Row],[Priority]]=5, Table24[[#This Row],[SNFI Severity]]=5), Table24[[#This Row],[SHL_PIN_HC]]*$B$7,
                            IF(AND(Table24[[#This Row],[Priority]]=5, Table24[[#This Row],[SNFI Severity]]=4), Table24[[#This Row],[SHL_PIN_HC]]*$B$12,
                              IF(AND(Table24[[#This Row],[Priority]]=5, Table24[[#This Row],[SNFI Severity]]=3), Table24[[#This Row],[SHL_PIN_HC]]*$B$17, 0))))))))))))))),
  0)</f>
        <v>642.40000000000009</v>
      </c>
      <c r="W218" s="100">
        <f>$R$3*ROUND(
  IF(AND(Table24[[#This Row],[Priority]]=1, Table24[[#This Row],[SNFI Severity]]=5), Table24[[#This Row],[SHL_PIN_NDP]]*$B$3,
    IF(AND(Table24[[#This Row],[Priority]]=1, Table24[[#This Row],[SNFI Severity]]=4), Table24[[#This Row],[SHL_PIN_NDP]]*$B$8,
      IF(AND(Table24[[#This Row],[Priority]]=1, Table24[[#This Row],[SNFI Severity]]=3), Table24[[#This Row],[SHL_PIN_NDP]]*$B$13,
        IF(AND(Table24[[#This Row],[Priority]]=2, Table24[[#This Row],[SNFI Severity]]=5), Table24[[#This Row],[SHL_PIN_NDP]]*$B$4,
          IF(AND(Table24[[#This Row],[Priority]]=2, Table24[[#This Row],[SNFI Severity]]=4), Table24[[#This Row],[SHL_PIN_NDP]]*$B$9,
            IF(AND(Table24[[#This Row],[Priority]]=2, Table24[[#This Row],[SNFI Severity]]=3), Table24[[#This Row],[SHL_PIN_NDP]]*$B$14,
              IF(AND(Table24[[#This Row],[Priority]]=3, Table24[[#This Row],[SNFI Severity]]=5), Table24[[#This Row],[SHL_PIN_NDP]]*$B$5,
                IF(AND(Table24[[#This Row],[Priority]]=3, Table24[[#This Row],[SNFI Severity]]=4), Table24[[#This Row],[SHL_PIN_NDP]]*$B$10,
                  IF(AND(Table24[[#This Row],[Priority]]=3, Table24[[#This Row],[SNFI Severity]]=3), Table24[[#This Row],[SHL_PIN_NDP]]*$B$15,
                    IF(AND(Table24[[#This Row],[Priority]]=4, Table24[[#This Row],[SNFI Severity]]=5), Table24[[#This Row],[SHL_PIN_NDP]]*$B$6,
                      IF(AND(Table24[[#This Row],[Priority]]=4, Table24[[#This Row],[SNFI Severity]]=4), Table24[[#This Row],[SHL_PIN_NDP]]*$B$11,
                        IF(AND(Table24[[#This Row],[Priority]]=4, Table24[[#This Row],[SNFI Severity]]=3), Table24[[#This Row],[SHL_PIN_NDP]]*$B$16,
                          IF(AND(Table24[[#This Row],[Priority]]=5, Table24[[#This Row],[SNFI Severity]]=5), Table24[[#This Row],[SHL_PIN_NDP]]*$B$7,
                            IF(AND(Table24[[#This Row],[Priority]]=5, Table24[[#This Row],[SNFI Severity]]=4), Table24[[#This Row],[SHL_PIN_NDP]]*$B$12,
                              IF(AND(Table24[[#This Row],[Priority]]=5, Table24[[#This Row],[SNFI Severity]]=3), Table24[[#This Row],[SHL_PIN_NDP]]*$B$17, 0))))))))))))))),
  0)</f>
        <v>843</v>
      </c>
      <c r="X218" s="98">
        <v>5000</v>
      </c>
      <c r="Y218" s="98">
        <v>2000</v>
      </c>
      <c r="Z218" s="98">
        <v>5000</v>
      </c>
      <c r="AA218" s="49">
        <f>ROUND($P$8*(Table24[[#This Row],[SHL_TAR_IDPs]]*$AA$3+Table24[[#This Row],[SHL_TAR_HC]]*$AA$4+Table24[[#This Row],[SHL_TAR_NDP]]*$AA$5)/$AA$18,0)</f>
        <v>1020</v>
      </c>
      <c r="AB218" s="49">
        <f>ROUND($P$8*(Table24[[#This Row],[SHL_TAR_IDPs]]*$AB$3+Table24[[#This Row],[SHL_TAR_HC]]*$AB$4+Table24[[#This Row],[SHL_TAR_NDP]]*$AB$5)/$AB$18,0)</f>
        <v>1020</v>
      </c>
      <c r="AC218" s="49">
        <f>ROUND($Q$8*(Table24[[#This Row],[SHL_TAR_IDPs]]*$AC$3+Table24[[#This Row],[SHL_TAR_HC]]*$AC$4+Table24[[#This Row],[SHL_TAR_NDP]]*$AC$5)/$AC$18,0)</f>
        <v>50</v>
      </c>
      <c r="AD218" s="49">
        <f>ROUND($Q$8*(Table24[[#This Row],[SHL_TAR_IDPs]]*$AD$3+Table24[[#This Row],[SHL_TAR_HC]]*$AD$4+Table24[[#This Row],[SHL_TAR_NDP]]*$AD$5)/$AD$18,0)</f>
        <v>50</v>
      </c>
      <c r="AE218" s="49">
        <f>ROUND($Q$8*(Table24[[#This Row],[SHL_TAR_IDPs]]*$AE$3+Table24[[#This Row],[SHL_TAR_HC]]*$AE$4+Table24[[#This Row],[SHL_TAR_NDP]]*$AE$5)/$AE$18,0)</f>
        <v>120</v>
      </c>
      <c r="AF218" s="49">
        <f>ROUND($Q$8*(Table24[[#This Row],[SHL_TAR_IDPs]]*$AF$3+Table24[[#This Row],[SHL_TAR_HC]]*$AF$4+Table24[[#This Row],[SHL_TAR_NDP]]*$AF$5)/$AF$18,0)</f>
        <v>240</v>
      </c>
      <c r="AG218" s="49">
        <f>ROUND($Q$8*(Table24[[#This Row],[SHL_TAR_IDPs]]*$AG$3+Table24[[#This Row],[SHL_TAR_HC]]*$AG$4+Table24[[#This Row],[SHL_TAR_NDP]]*$AG$5)/$AG$18,0)</f>
        <v>620</v>
      </c>
      <c r="AH218" s="49">
        <f>ROUND($Q$8*(Table24[[#This Row],[SHL_TAR_IDPs]]*$AH$3+Table24[[#This Row],[SHL_TAR_HC]]*$AH$4+Table24[[#This Row],[SHL_TAR_NDP]]*$AH$5)/$AH$18,0)</f>
        <v>120</v>
      </c>
      <c r="AI218" s="49" t="str">
        <f>IF(AND(Table24[[#This Row],[Affected by
Floods]]&gt;=5000,Table24[[#This Row],[Access]]&lt;&gt;"Hard-to-reach"),ROUND($R$8*(Table24[[#This Row],[SHL_TAR_IDPs]]*$AI$3+Table24[[#This Row],[SHL_TAR_HC]]*$AI$4+Table24[[#This Row],[SHL_TAR_NDP]]*$AI$5)/$AI$18,0),"")</f>
        <v/>
      </c>
      <c r="AK218" s="101">
        <v>5.0000000000000001E-3</v>
      </c>
      <c r="AL218" s="102"/>
    </row>
  </sheetData>
  <mergeCells count="1">
    <mergeCell ref="Q17:R17"/>
  </mergeCells>
  <phoneticPr fontId="18" type="noConversion"/>
  <conditionalFormatting sqref="D1:D104857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9:G218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17:AI17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A14:AI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4EF16-1938-4EDD-9B63-F45A1A600DDE}">
  <dimension ref="A1:X191"/>
  <sheetViews>
    <sheetView zoomScale="70" zoomScaleNormal="70" workbookViewId="0">
      <selection activeCell="I2" sqref="I2"/>
    </sheetView>
  </sheetViews>
  <sheetFormatPr defaultRowHeight="14.4" x14ac:dyDescent="0.55000000000000004"/>
  <cols>
    <col min="1" max="1" width="16.5234375" customWidth="1"/>
    <col min="2" max="2" width="17.47265625" customWidth="1"/>
    <col min="3" max="3" width="13.83984375" customWidth="1"/>
    <col min="4" max="4" width="18.15625" customWidth="1"/>
    <col min="5" max="5" width="15.578125" customWidth="1"/>
    <col min="6" max="6" width="18.15625" customWidth="1"/>
    <col min="7" max="8" width="12.20703125" customWidth="1"/>
    <col min="9" max="9" width="11.41796875" customWidth="1"/>
    <col min="10" max="10" width="11.68359375" customWidth="1"/>
    <col min="11" max="13" width="12.89453125" customWidth="1"/>
    <col min="14" max="14" width="11.578125" style="79" customWidth="1"/>
    <col min="15" max="15" width="11.578125" customWidth="1"/>
    <col min="19" max="19" width="13.05078125" customWidth="1"/>
    <col min="20" max="20" width="13.578125" customWidth="1"/>
    <col min="21" max="21" width="13.15625" customWidth="1"/>
    <col min="22" max="22" width="12.62890625" hidden="1" customWidth="1"/>
  </cols>
  <sheetData>
    <row r="1" spans="1:24" ht="65.650000000000006" customHeight="1" thickBot="1" x14ac:dyDescent="0.6">
      <c r="A1" s="69" t="s">
        <v>479</v>
      </c>
      <c r="B1" s="70" t="s">
        <v>480</v>
      </c>
      <c r="C1" s="70" t="s">
        <v>481</v>
      </c>
      <c r="D1" s="71" t="s">
        <v>482</v>
      </c>
      <c r="E1" s="71" t="s">
        <v>483</v>
      </c>
      <c r="F1" s="71" t="s">
        <v>484</v>
      </c>
      <c r="G1" s="71" t="s">
        <v>485</v>
      </c>
      <c r="H1" s="71" t="s">
        <v>519</v>
      </c>
      <c r="I1" s="71" t="s">
        <v>486</v>
      </c>
      <c r="J1" s="71" t="s">
        <v>487</v>
      </c>
      <c r="K1" s="70" t="s">
        <v>488</v>
      </c>
      <c r="L1" s="70" t="s">
        <v>577</v>
      </c>
      <c r="M1" s="70" t="s">
        <v>489</v>
      </c>
      <c r="N1" s="72" t="s">
        <v>490</v>
      </c>
      <c r="O1" s="70" t="s">
        <v>491</v>
      </c>
      <c r="P1" s="70" t="s">
        <v>492</v>
      </c>
      <c r="Q1" s="70" t="s">
        <v>493</v>
      </c>
      <c r="R1" s="70" t="s">
        <v>494</v>
      </c>
      <c r="S1" s="70" t="s">
        <v>542</v>
      </c>
      <c r="T1" s="70" t="s">
        <v>495</v>
      </c>
      <c r="U1" s="70" t="s">
        <v>543</v>
      </c>
      <c r="V1" s="70" t="s">
        <v>496</v>
      </c>
      <c r="W1" s="87" t="s">
        <v>497</v>
      </c>
      <c r="X1" s="87" t="s">
        <v>498</v>
      </c>
    </row>
    <row r="2" spans="1:24" ht="27.9" thickTop="1" x14ac:dyDescent="0.55000000000000004">
      <c r="A2" s="73" t="s">
        <v>441</v>
      </c>
      <c r="B2" s="74" t="s">
        <v>499</v>
      </c>
      <c r="C2" s="75" t="s">
        <v>251</v>
      </c>
      <c r="D2" s="76" t="s">
        <v>61</v>
      </c>
      <c r="E2" s="77">
        <v>29245</v>
      </c>
      <c r="F2" s="78">
        <v>5849</v>
      </c>
      <c r="G2" s="78"/>
      <c r="H2" s="78" t="s">
        <v>520</v>
      </c>
      <c r="I2" s="78">
        <v>0</v>
      </c>
      <c r="J2" s="78">
        <v>0</v>
      </c>
      <c r="K2">
        <v>0</v>
      </c>
      <c r="L2">
        <f>SUM(Table2[[#This Row],[2021 Reach]:[2023 Reach]])*5</f>
        <v>0</v>
      </c>
      <c r="M2">
        <f>Table2[[#This Row],[2023 Reach]]*5</f>
        <v>0</v>
      </c>
      <c r="N2" s="79">
        <f>IFERROR(Table2[[#This Row],[2023 Reach People]]/Table2[[#This Row],[2023 Affected People]],0)</f>
        <v>0</v>
      </c>
      <c r="O2">
        <f t="shared" ref="O2:O65" si="0">IF(F2&gt;250000,4,IF(F2&gt;150000,3,IF(F2&gt;100000,2,IF(F2&gt;0,1,0))))</f>
        <v>1</v>
      </c>
      <c r="P2">
        <f t="shared" ref="P2:P33" si="1">IF(I2=0,1,0)</f>
        <v>1</v>
      </c>
      <c r="Q2">
        <f t="shared" ref="Q2:Q33" si="2">IF(J2=0,1,0)</f>
        <v>1</v>
      </c>
      <c r="R2">
        <f t="shared" ref="R2:R65" si="3">IF(AND(E2&gt;0,K2=0),1,0)</f>
        <v>1</v>
      </c>
      <c r="S2">
        <f>IF(N2&gt;50%,0,IF(N2&gt;0%,1,2))</f>
        <v>2</v>
      </c>
      <c r="T2">
        <f>IF(Table2[[#This Row],[Access 2023]]="Hard to reach", 4, IF(Table2[[#This Row],[Access 2023]]="Partially Accessible", 3, 2))</f>
        <v>4</v>
      </c>
      <c r="U2">
        <v>1</v>
      </c>
      <c r="W2">
        <f>SUM(Table2[[#This Row],[PIN Score]],Table2[[#This Row],[Response 2023 Score]],Table2[[#This Row],[Neglected Locality Percentage Response]],Table2[[#This Row],[Security and Access]])</f>
        <v>8</v>
      </c>
      <c r="X2">
        <f t="shared" ref="X2:X33" si="4">IF(W2&lt;=4, 1, IF(W2&lt;6, 2, IF(W2&lt;7, 3, IF(W2&lt;8, 4, 5))))</f>
        <v>5</v>
      </c>
    </row>
    <row r="3" spans="1:24" x14ac:dyDescent="0.55000000000000004">
      <c r="A3" s="80" t="s">
        <v>442</v>
      </c>
      <c r="B3" s="81" t="s">
        <v>500</v>
      </c>
      <c r="C3" s="81" t="s">
        <v>252</v>
      </c>
      <c r="D3" s="76" t="s">
        <v>62</v>
      </c>
      <c r="E3" s="77">
        <v>191442</v>
      </c>
      <c r="F3" s="78">
        <v>101604</v>
      </c>
      <c r="G3" s="78"/>
      <c r="H3" s="78" t="s">
        <v>521</v>
      </c>
      <c r="I3" s="78">
        <v>355</v>
      </c>
      <c r="J3" s="78">
        <v>0</v>
      </c>
      <c r="K3">
        <v>157</v>
      </c>
      <c r="L3">
        <f>SUM(Table2[[#This Row],[2021 Reach]:[2023 Reach]])*5</f>
        <v>2560</v>
      </c>
      <c r="M3">
        <f>Table2[[#This Row],[2023 Reach]]*5</f>
        <v>785</v>
      </c>
      <c r="N3" s="79">
        <f>IFERROR(Table2[[#This Row],[2023 Reach People]]/Table2[[#This Row],[2023 Affected People]],0)</f>
        <v>4.1004586245442483E-3</v>
      </c>
      <c r="O3">
        <f t="shared" si="0"/>
        <v>2</v>
      </c>
      <c r="P3">
        <f t="shared" si="1"/>
        <v>0</v>
      </c>
      <c r="Q3">
        <f t="shared" si="2"/>
        <v>1</v>
      </c>
      <c r="R3">
        <f t="shared" si="3"/>
        <v>0</v>
      </c>
      <c r="S3">
        <f t="shared" ref="S3:S66" si="5">IF(N3&gt;50%,0,IF(N3&gt;0%,1,2))</f>
        <v>1</v>
      </c>
      <c r="T3">
        <f>IF(Table2[[#This Row],[Access 2023]]="Hard to reach", 4, IF(Table2[[#This Row],[Access 2023]]="Partially Accessible", 3, 2))</f>
        <v>2</v>
      </c>
      <c r="U3">
        <v>3</v>
      </c>
      <c r="W3">
        <f>SUM(Table2[[#This Row],[PIN Score]],Table2[[#This Row],[Response 2023 Score]],Table2[[#This Row],[Neglected Locality Percentage Response]],Table2[[#This Row],[Security and Access]])</f>
        <v>5</v>
      </c>
      <c r="X3">
        <f t="shared" si="4"/>
        <v>2</v>
      </c>
    </row>
    <row r="4" spans="1:24" x14ac:dyDescent="0.55000000000000004">
      <c r="A4" s="82" t="s">
        <v>442</v>
      </c>
      <c r="B4" s="81" t="s">
        <v>500</v>
      </c>
      <c r="C4" s="81" t="s">
        <v>253</v>
      </c>
      <c r="D4" s="76" t="s">
        <v>63</v>
      </c>
      <c r="E4" s="77">
        <v>55002</v>
      </c>
      <c r="F4" s="78">
        <v>100544</v>
      </c>
      <c r="G4" s="78"/>
      <c r="H4" s="78" t="s">
        <v>520</v>
      </c>
      <c r="I4" s="78">
        <v>0</v>
      </c>
      <c r="J4" s="78">
        <v>0</v>
      </c>
      <c r="K4">
        <v>0</v>
      </c>
      <c r="L4">
        <f>SUM(Table2[[#This Row],[2021 Reach]:[2023 Reach]])*5</f>
        <v>0</v>
      </c>
      <c r="M4">
        <f>Table2[[#This Row],[2023 Reach]]*5</f>
        <v>0</v>
      </c>
      <c r="N4" s="79">
        <f>IFERROR(Table2[[#This Row],[2023 Reach People]]/Table2[[#This Row],[2023 Affected People]],0)</f>
        <v>0</v>
      </c>
      <c r="O4">
        <f t="shared" si="0"/>
        <v>2</v>
      </c>
      <c r="P4">
        <f t="shared" si="1"/>
        <v>1</v>
      </c>
      <c r="Q4">
        <f t="shared" si="2"/>
        <v>1</v>
      </c>
      <c r="R4">
        <f t="shared" si="3"/>
        <v>1</v>
      </c>
      <c r="S4">
        <f t="shared" si="5"/>
        <v>2</v>
      </c>
      <c r="T4">
        <f>IF(Table2[[#This Row],[Access 2023]]="Hard to reach", 4, IF(Table2[[#This Row],[Access 2023]]="Partially Accessible", 3, 2))</f>
        <v>4</v>
      </c>
      <c r="U4">
        <v>4</v>
      </c>
      <c r="W4">
        <f>SUM(Table2[[#This Row],[PIN Score]],Table2[[#This Row],[Response 2023 Score]],Table2[[#This Row],[Neglected Locality Percentage Response]],Table2[[#This Row],[Security and Access]])</f>
        <v>9</v>
      </c>
      <c r="X4">
        <f t="shared" si="4"/>
        <v>5</v>
      </c>
    </row>
    <row r="5" spans="1:24" x14ac:dyDescent="0.55000000000000004">
      <c r="A5" s="80" t="s">
        <v>442</v>
      </c>
      <c r="B5" s="81" t="s">
        <v>500</v>
      </c>
      <c r="C5" s="81" t="s">
        <v>254</v>
      </c>
      <c r="D5" s="76" t="s">
        <v>64</v>
      </c>
      <c r="E5" s="77">
        <v>86965</v>
      </c>
      <c r="F5" s="78">
        <v>66596</v>
      </c>
      <c r="G5" s="78"/>
      <c r="H5" s="78" t="s">
        <v>521</v>
      </c>
      <c r="I5" s="78">
        <v>0</v>
      </c>
      <c r="J5" s="78">
        <v>1249</v>
      </c>
      <c r="K5">
        <v>0</v>
      </c>
      <c r="L5">
        <f>SUM(Table2[[#This Row],[2021 Reach]:[2023 Reach]])*5</f>
        <v>6245</v>
      </c>
      <c r="M5">
        <f>Table2[[#This Row],[2023 Reach]]*5</f>
        <v>0</v>
      </c>
      <c r="N5" s="79">
        <f>IFERROR(Table2[[#This Row],[2023 Reach People]]/Table2[[#This Row],[2023 Affected People]],0)</f>
        <v>0</v>
      </c>
      <c r="O5">
        <f t="shared" si="0"/>
        <v>1</v>
      </c>
      <c r="P5">
        <f t="shared" si="1"/>
        <v>1</v>
      </c>
      <c r="Q5">
        <f t="shared" si="2"/>
        <v>0</v>
      </c>
      <c r="R5">
        <f t="shared" si="3"/>
        <v>1</v>
      </c>
      <c r="S5">
        <f t="shared" si="5"/>
        <v>2</v>
      </c>
      <c r="T5">
        <f>IF(Table2[[#This Row],[Access 2023]]="Hard to reach", 4, IF(Table2[[#This Row],[Access 2023]]="Partially Accessible", 3, 2))</f>
        <v>2</v>
      </c>
      <c r="U5">
        <v>3</v>
      </c>
      <c r="W5">
        <f>SUM(Table2[[#This Row],[PIN Score]],Table2[[#This Row],[Response 2023 Score]],Table2[[#This Row],[Neglected Locality Percentage Response]],Table2[[#This Row],[Security and Access]])</f>
        <v>6</v>
      </c>
      <c r="X5">
        <f t="shared" si="4"/>
        <v>3</v>
      </c>
    </row>
    <row r="6" spans="1:24" x14ac:dyDescent="0.55000000000000004">
      <c r="A6" s="82" t="s">
        <v>442</v>
      </c>
      <c r="B6" s="81" t="s">
        <v>500</v>
      </c>
      <c r="C6" s="81" t="s">
        <v>255</v>
      </c>
      <c r="D6" s="76" t="s">
        <v>65</v>
      </c>
      <c r="E6" s="77">
        <v>53974</v>
      </c>
      <c r="F6" s="78">
        <v>30835</v>
      </c>
      <c r="G6" s="78"/>
      <c r="H6" s="78" t="s">
        <v>521</v>
      </c>
      <c r="I6" s="78">
        <v>0</v>
      </c>
      <c r="J6" s="78">
        <v>0</v>
      </c>
      <c r="K6">
        <v>0</v>
      </c>
      <c r="L6">
        <f>SUM(Table2[[#This Row],[2021 Reach]:[2023 Reach]])*5</f>
        <v>0</v>
      </c>
      <c r="M6">
        <f>Table2[[#This Row],[2023 Reach]]*5</f>
        <v>0</v>
      </c>
      <c r="N6" s="79">
        <f>IFERROR(Table2[[#This Row],[2023 Reach People]]/Table2[[#This Row],[2023 Affected People]],0)</f>
        <v>0</v>
      </c>
      <c r="O6">
        <f t="shared" si="0"/>
        <v>1</v>
      </c>
      <c r="P6">
        <f t="shared" si="1"/>
        <v>1</v>
      </c>
      <c r="Q6">
        <f t="shared" si="2"/>
        <v>1</v>
      </c>
      <c r="R6">
        <f t="shared" si="3"/>
        <v>1</v>
      </c>
      <c r="S6">
        <f t="shared" si="5"/>
        <v>2</v>
      </c>
      <c r="T6">
        <f>IF(Table2[[#This Row],[Access 2023]]="Hard to reach", 4, IF(Table2[[#This Row],[Access 2023]]="Partially Accessible", 3, 2))</f>
        <v>2</v>
      </c>
      <c r="U6">
        <v>2</v>
      </c>
      <c r="W6">
        <f>SUM(Table2[[#This Row],[PIN Score]],Table2[[#This Row],[Response 2023 Score]],Table2[[#This Row],[Neglected Locality Percentage Response]],Table2[[#This Row],[Security and Access]])</f>
        <v>6</v>
      </c>
      <c r="X6">
        <f t="shared" si="4"/>
        <v>3</v>
      </c>
    </row>
    <row r="7" spans="1:24" ht="27.6" x14ac:dyDescent="0.55000000000000004">
      <c r="A7" s="82" t="s">
        <v>442</v>
      </c>
      <c r="B7" s="81" t="s">
        <v>500</v>
      </c>
      <c r="C7" s="81" t="s">
        <v>256</v>
      </c>
      <c r="D7" s="76" t="s">
        <v>66</v>
      </c>
      <c r="E7" s="77">
        <v>67409</v>
      </c>
      <c r="F7" s="78">
        <v>54443</v>
      </c>
      <c r="G7" s="78"/>
      <c r="H7" s="78" t="s">
        <v>521</v>
      </c>
      <c r="I7" s="78">
        <v>0</v>
      </c>
      <c r="J7" s="78">
        <v>0</v>
      </c>
      <c r="K7">
        <v>0</v>
      </c>
      <c r="L7">
        <f>SUM(Table2[[#This Row],[2021 Reach]:[2023 Reach]])*5</f>
        <v>0</v>
      </c>
      <c r="M7">
        <f>Table2[[#This Row],[2023 Reach]]*5</f>
        <v>0</v>
      </c>
      <c r="N7" s="79">
        <f>IFERROR(Table2[[#This Row],[2023 Reach People]]/Table2[[#This Row],[2023 Affected People]],0)</f>
        <v>0</v>
      </c>
      <c r="O7">
        <f t="shared" si="0"/>
        <v>1</v>
      </c>
      <c r="P7">
        <f t="shared" si="1"/>
        <v>1</v>
      </c>
      <c r="Q7">
        <f t="shared" si="2"/>
        <v>1</v>
      </c>
      <c r="R7">
        <f t="shared" si="3"/>
        <v>1</v>
      </c>
      <c r="S7">
        <f t="shared" si="5"/>
        <v>2</v>
      </c>
      <c r="T7">
        <f>IF(Table2[[#This Row],[Access 2023]]="Hard to reach", 4, IF(Table2[[#This Row],[Access 2023]]="Partially Accessible", 3, 2))</f>
        <v>2</v>
      </c>
      <c r="U7">
        <v>3</v>
      </c>
      <c r="W7">
        <f>SUM(Table2[[#This Row],[PIN Score]],Table2[[#This Row],[Response 2023 Score]],Table2[[#This Row],[Neglected Locality Percentage Response]],Table2[[#This Row],[Security and Access]])</f>
        <v>6</v>
      </c>
      <c r="X7">
        <f t="shared" si="4"/>
        <v>3</v>
      </c>
    </row>
    <row r="8" spans="1:24" ht="27.6" x14ac:dyDescent="0.55000000000000004">
      <c r="A8" s="82" t="s">
        <v>442</v>
      </c>
      <c r="B8" s="81" t="s">
        <v>500</v>
      </c>
      <c r="C8" s="81" t="s">
        <v>257</v>
      </c>
      <c r="D8" s="76" t="s">
        <v>67</v>
      </c>
      <c r="E8" s="77">
        <v>110994</v>
      </c>
      <c r="F8" s="78">
        <v>46182</v>
      </c>
      <c r="G8" s="78"/>
      <c r="H8" s="78" t="s">
        <v>521</v>
      </c>
      <c r="I8" s="78">
        <v>0</v>
      </c>
      <c r="J8" s="78">
        <v>0</v>
      </c>
      <c r="K8">
        <v>1544</v>
      </c>
      <c r="L8">
        <f>SUM(Table2[[#This Row],[2021 Reach]:[2023 Reach]])*5</f>
        <v>7720</v>
      </c>
      <c r="M8">
        <f>Table2[[#This Row],[2023 Reach]]*5</f>
        <v>7720</v>
      </c>
      <c r="N8" s="79">
        <f>IFERROR(Table2[[#This Row],[2023 Reach People]]/Table2[[#This Row],[2023 Affected People]],0)</f>
        <v>6.9553309187884035E-2</v>
      </c>
      <c r="O8">
        <f t="shared" si="0"/>
        <v>1</v>
      </c>
      <c r="P8">
        <f t="shared" si="1"/>
        <v>1</v>
      </c>
      <c r="Q8">
        <f t="shared" si="2"/>
        <v>1</v>
      </c>
      <c r="R8">
        <f t="shared" si="3"/>
        <v>0</v>
      </c>
      <c r="S8">
        <f t="shared" si="5"/>
        <v>1</v>
      </c>
      <c r="T8">
        <f>IF(Table2[[#This Row],[Access 2023]]="Hard to reach", 4, IF(Table2[[#This Row],[Access 2023]]="Partially Accessible", 3, 2))</f>
        <v>2</v>
      </c>
      <c r="U8">
        <v>4</v>
      </c>
      <c r="W8">
        <f>SUM(Table2[[#This Row],[PIN Score]],Table2[[#This Row],[Response 2023 Score]],Table2[[#This Row],[Neglected Locality Percentage Response]],Table2[[#This Row],[Security and Access]])</f>
        <v>4</v>
      </c>
      <c r="X8">
        <f t="shared" si="4"/>
        <v>1</v>
      </c>
    </row>
    <row r="9" spans="1:24" ht="27.6" x14ac:dyDescent="0.55000000000000004">
      <c r="A9" s="82" t="s">
        <v>442</v>
      </c>
      <c r="B9" s="81" t="s">
        <v>500</v>
      </c>
      <c r="C9" s="81" t="s">
        <v>258</v>
      </c>
      <c r="D9" s="76" t="s">
        <v>68</v>
      </c>
      <c r="E9" s="77">
        <v>221658</v>
      </c>
      <c r="F9" s="78">
        <v>50410</v>
      </c>
      <c r="G9" s="78"/>
      <c r="H9" s="78" t="s">
        <v>521</v>
      </c>
      <c r="I9" s="78">
        <v>0</v>
      </c>
      <c r="J9" s="78">
        <v>0</v>
      </c>
      <c r="K9">
        <v>114</v>
      </c>
      <c r="L9">
        <f>SUM(Table2[[#This Row],[2021 Reach]:[2023 Reach]])*5</f>
        <v>570</v>
      </c>
      <c r="M9">
        <f>Table2[[#This Row],[2023 Reach]]*5</f>
        <v>570</v>
      </c>
      <c r="N9" s="79">
        <f>IFERROR(Table2[[#This Row],[2023 Reach People]]/Table2[[#This Row],[2023 Affected People]],0)</f>
        <v>2.5715291124164255E-3</v>
      </c>
      <c r="O9">
        <f t="shared" si="0"/>
        <v>1</v>
      </c>
      <c r="P9">
        <f t="shared" si="1"/>
        <v>1</v>
      </c>
      <c r="Q9">
        <f t="shared" si="2"/>
        <v>1</v>
      </c>
      <c r="R9">
        <f t="shared" si="3"/>
        <v>0</v>
      </c>
      <c r="S9">
        <f t="shared" si="5"/>
        <v>1</v>
      </c>
      <c r="T9">
        <f>IF(Table2[[#This Row],[Access 2023]]="Hard to reach", 4, IF(Table2[[#This Row],[Access 2023]]="Partially Accessible", 3, 2))</f>
        <v>2</v>
      </c>
      <c r="U9">
        <v>2</v>
      </c>
      <c r="W9">
        <f>SUM(Table2[[#This Row],[PIN Score]],Table2[[#This Row],[Response 2023 Score]],Table2[[#This Row],[Neglected Locality Percentage Response]],Table2[[#This Row],[Security and Access]])</f>
        <v>4</v>
      </c>
      <c r="X9">
        <f t="shared" si="4"/>
        <v>1</v>
      </c>
    </row>
    <row r="10" spans="1:24" x14ac:dyDescent="0.55000000000000004">
      <c r="A10" s="82" t="s">
        <v>442</v>
      </c>
      <c r="B10" s="81" t="s">
        <v>500</v>
      </c>
      <c r="C10" s="81" t="s">
        <v>259</v>
      </c>
      <c r="D10" s="76" t="s">
        <v>69</v>
      </c>
      <c r="E10" s="77">
        <v>150960</v>
      </c>
      <c r="F10" s="78">
        <v>25821</v>
      </c>
      <c r="G10" s="78"/>
      <c r="H10" s="78" t="s">
        <v>521</v>
      </c>
      <c r="I10" s="78">
        <v>0</v>
      </c>
      <c r="J10" s="78">
        <v>0</v>
      </c>
      <c r="K10">
        <v>0</v>
      </c>
      <c r="L10">
        <f>SUM(Table2[[#This Row],[2021 Reach]:[2023 Reach]])*5</f>
        <v>0</v>
      </c>
      <c r="M10">
        <f>Table2[[#This Row],[2023 Reach]]*5</f>
        <v>0</v>
      </c>
      <c r="N10" s="79">
        <f>IFERROR(Table2[[#This Row],[2023 Reach People]]/Table2[[#This Row],[2023 Affected People]],0)</f>
        <v>0</v>
      </c>
      <c r="O10">
        <f t="shared" si="0"/>
        <v>1</v>
      </c>
      <c r="P10">
        <f t="shared" si="1"/>
        <v>1</v>
      </c>
      <c r="Q10">
        <f t="shared" si="2"/>
        <v>1</v>
      </c>
      <c r="R10">
        <f t="shared" si="3"/>
        <v>1</v>
      </c>
      <c r="S10">
        <f t="shared" si="5"/>
        <v>2</v>
      </c>
      <c r="T10">
        <f>IF(Table2[[#This Row],[Access 2023]]="Hard to reach", 4, IF(Table2[[#This Row],[Access 2023]]="Partially Accessible", 3, 2))</f>
        <v>2</v>
      </c>
      <c r="U10">
        <v>3</v>
      </c>
      <c r="W10">
        <f>SUM(Table2[[#This Row],[PIN Score]],Table2[[#This Row],[Response 2023 Score]],Table2[[#This Row],[Neglected Locality Percentage Response]],Table2[[#This Row],[Security and Access]])</f>
        <v>6</v>
      </c>
      <c r="X10">
        <f t="shared" si="4"/>
        <v>3</v>
      </c>
    </row>
    <row r="11" spans="1:24" ht="24.6" x14ac:dyDescent="0.55000000000000004">
      <c r="A11" s="82" t="s">
        <v>443</v>
      </c>
      <c r="B11" s="81" t="s">
        <v>501</v>
      </c>
      <c r="C11" s="81" t="s">
        <v>260</v>
      </c>
      <c r="D11" s="76" t="s">
        <v>70</v>
      </c>
      <c r="E11" s="77">
        <v>81906</v>
      </c>
      <c r="F11" s="78">
        <v>23260</v>
      </c>
      <c r="G11" s="78"/>
      <c r="H11" s="78" t="s">
        <v>522</v>
      </c>
      <c r="I11" s="78">
        <v>0</v>
      </c>
      <c r="J11" s="78">
        <v>0</v>
      </c>
      <c r="K11">
        <v>1</v>
      </c>
      <c r="L11">
        <f>SUM(Table2[[#This Row],[2021 Reach]:[2023 Reach]])*5</f>
        <v>5</v>
      </c>
      <c r="M11">
        <f>Table2[[#This Row],[2023 Reach]]*5</f>
        <v>5</v>
      </c>
      <c r="N11" s="79">
        <f>IFERROR(Table2[[#This Row],[2023 Reach People]]/Table2[[#This Row],[2023 Affected People]],0)</f>
        <v>6.1045588845750002E-5</v>
      </c>
      <c r="O11">
        <f t="shared" si="0"/>
        <v>1</v>
      </c>
      <c r="P11">
        <f t="shared" si="1"/>
        <v>1</v>
      </c>
      <c r="Q11">
        <f t="shared" si="2"/>
        <v>1</v>
      </c>
      <c r="R11">
        <f t="shared" si="3"/>
        <v>0</v>
      </c>
      <c r="S11">
        <f t="shared" si="5"/>
        <v>1</v>
      </c>
      <c r="T11">
        <f>IF(Table2[[#This Row],[Access 2023]]="Hard to reach", 4, IF(Table2[[#This Row],[Access 2023]]="Partially Accessible", 3, 2))</f>
        <v>3</v>
      </c>
      <c r="U11">
        <v>2</v>
      </c>
      <c r="W11">
        <f>SUM(Table2[[#This Row],[PIN Score]],Table2[[#This Row],[Response 2023 Score]],Table2[[#This Row],[Neglected Locality Percentage Response]],Table2[[#This Row],[Security and Access]])</f>
        <v>5</v>
      </c>
      <c r="X11">
        <f t="shared" si="4"/>
        <v>2</v>
      </c>
    </row>
    <row r="12" spans="1:24" x14ac:dyDescent="0.55000000000000004">
      <c r="A12" s="82" t="s">
        <v>443</v>
      </c>
      <c r="B12" s="81" t="s">
        <v>501</v>
      </c>
      <c r="C12" s="81" t="s">
        <v>261</v>
      </c>
      <c r="D12" s="76" t="s">
        <v>71</v>
      </c>
      <c r="E12" s="77">
        <v>121806</v>
      </c>
      <c r="F12" s="78">
        <v>36379</v>
      </c>
      <c r="G12" s="78"/>
      <c r="H12" s="78" t="s">
        <v>521</v>
      </c>
      <c r="I12" s="78">
        <v>0</v>
      </c>
      <c r="J12" s="78">
        <v>2782</v>
      </c>
      <c r="K12">
        <v>1034</v>
      </c>
      <c r="L12">
        <f>SUM(Table2[[#This Row],[2021 Reach]:[2023 Reach]])*5</f>
        <v>19080</v>
      </c>
      <c r="M12">
        <f>Table2[[#This Row],[2023 Reach]]*5</f>
        <v>5170</v>
      </c>
      <c r="N12" s="79">
        <f>IFERROR(Table2[[#This Row],[2023 Reach People]]/Table2[[#This Row],[2023 Affected People]],0)</f>
        <v>4.2444542961758862E-2</v>
      </c>
      <c r="O12">
        <f t="shared" si="0"/>
        <v>1</v>
      </c>
      <c r="P12">
        <f t="shared" si="1"/>
        <v>1</v>
      </c>
      <c r="Q12">
        <f t="shared" si="2"/>
        <v>0</v>
      </c>
      <c r="R12">
        <f t="shared" si="3"/>
        <v>0</v>
      </c>
      <c r="S12">
        <f t="shared" si="5"/>
        <v>1</v>
      </c>
      <c r="T12">
        <f>IF(Table2[[#This Row],[Access 2023]]="Hard to reach", 4, IF(Table2[[#This Row],[Access 2023]]="Partially Accessible", 3, 2))</f>
        <v>2</v>
      </c>
      <c r="U12">
        <v>2</v>
      </c>
      <c r="W12">
        <f>SUM(Table2[[#This Row],[PIN Score]],Table2[[#This Row],[Response 2023 Score]],Table2[[#This Row],[Neglected Locality Percentage Response]],Table2[[#This Row],[Security and Access]])</f>
        <v>4</v>
      </c>
      <c r="X12">
        <f t="shared" si="4"/>
        <v>1</v>
      </c>
    </row>
    <row r="13" spans="1:24" ht="27.6" x14ac:dyDescent="0.55000000000000004">
      <c r="A13" s="80" t="s">
        <v>443</v>
      </c>
      <c r="B13" s="81" t="s">
        <v>501</v>
      </c>
      <c r="C13" s="81" t="s">
        <v>262</v>
      </c>
      <c r="D13" s="76" t="s">
        <v>72</v>
      </c>
      <c r="E13" s="77">
        <v>97949</v>
      </c>
      <c r="F13" s="78">
        <v>13548</v>
      </c>
      <c r="G13" s="78"/>
      <c r="H13" s="78" t="s">
        <v>521</v>
      </c>
      <c r="I13" s="78">
        <v>0</v>
      </c>
      <c r="J13" s="78">
        <v>0</v>
      </c>
      <c r="K13">
        <v>850</v>
      </c>
      <c r="L13">
        <f>SUM(Table2[[#This Row],[2021 Reach]:[2023 Reach]])*5</f>
        <v>4250</v>
      </c>
      <c r="M13">
        <f>Table2[[#This Row],[2023 Reach]]*5</f>
        <v>4250</v>
      </c>
      <c r="N13" s="79">
        <f>IFERROR(Table2[[#This Row],[2023 Reach People]]/Table2[[#This Row],[2023 Affected People]],0)</f>
        <v>4.3389927411203788E-2</v>
      </c>
      <c r="O13">
        <f t="shared" si="0"/>
        <v>1</v>
      </c>
      <c r="P13">
        <f t="shared" si="1"/>
        <v>1</v>
      </c>
      <c r="Q13">
        <f t="shared" si="2"/>
        <v>1</v>
      </c>
      <c r="R13">
        <f t="shared" si="3"/>
        <v>0</v>
      </c>
      <c r="S13">
        <f t="shared" si="5"/>
        <v>1</v>
      </c>
      <c r="T13">
        <f>IF(Table2[[#This Row],[Access 2023]]="Hard to reach", 4, IF(Table2[[#This Row],[Access 2023]]="Partially Accessible", 3, 2))</f>
        <v>2</v>
      </c>
      <c r="U13">
        <v>2</v>
      </c>
      <c r="W13">
        <f>SUM(Table2[[#This Row],[PIN Score]],Table2[[#This Row],[Response 2023 Score]],Table2[[#This Row],[Neglected Locality Percentage Response]],Table2[[#This Row],[Security and Access]])</f>
        <v>4</v>
      </c>
      <c r="X13">
        <f t="shared" si="4"/>
        <v>1</v>
      </c>
    </row>
    <row r="14" spans="1:24" ht="24.6" x14ac:dyDescent="0.55000000000000004">
      <c r="A14" s="82" t="s">
        <v>443</v>
      </c>
      <c r="B14" s="81" t="s">
        <v>501</v>
      </c>
      <c r="C14" s="81" t="s">
        <v>263</v>
      </c>
      <c r="D14" s="76" t="s">
        <v>73</v>
      </c>
      <c r="E14" s="77">
        <v>92158</v>
      </c>
      <c r="F14" s="78">
        <v>29783</v>
      </c>
      <c r="G14" s="78"/>
      <c r="H14" s="78" t="s">
        <v>522</v>
      </c>
      <c r="I14" s="78">
        <v>0</v>
      </c>
      <c r="J14" s="78">
        <v>0</v>
      </c>
      <c r="K14">
        <v>1275</v>
      </c>
      <c r="L14">
        <f>SUM(Table2[[#This Row],[2021 Reach]:[2023 Reach]])*5</f>
        <v>6375</v>
      </c>
      <c r="M14">
        <f>Table2[[#This Row],[2023 Reach]]*5</f>
        <v>6375</v>
      </c>
      <c r="N14" s="79">
        <f>IFERROR(Table2[[#This Row],[2023 Reach People]]/Table2[[#This Row],[2023 Affected People]],0)</f>
        <v>6.9174678269927736E-2</v>
      </c>
      <c r="O14">
        <f t="shared" si="0"/>
        <v>1</v>
      </c>
      <c r="P14">
        <f t="shared" si="1"/>
        <v>1</v>
      </c>
      <c r="Q14">
        <f t="shared" si="2"/>
        <v>1</v>
      </c>
      <c r="R14">
        <f t="shared" si="3"/>
        <v>0</v>
      </c>
      <c r="S14">
        <f t="shared" si="5"/>
        <v>1</v>
      </c>
      <c r="T14">
        <f>IF(Table2[[#This Row],[Access 2023]]="Hard to reach", 4, IF(Table2[[#This Row],[Access 2023]]="Partially Accessible", 3, 2))</f>
        <v>3</v>
      </c>
      <c r="U14">
        <v>1</v>
      </c>
      <c r="W14">
        <f>SUM(Table2[[#This Row],[PIN Score]],Table2[[#This Row],[Response 2023 Score]],Table2[[#This Row],[Neglected Locality Percentage Response]],Table2[[#This Row],[Security and Access]])</f>
        <v>5</v>
      </c>
      <c r="X14">
        <f t="shared" si="4"/>
        <v>2</v>
      </c>
    </row>
    <row r="15" spans="1:24" x14ac:dyDescent="0.55000000000000004">
      <c r="A15" s="82" t="s">
        <v>443</v>
      </c>
      <c r="B15" s="81" t="s">
        <v>501</v>
      </c>
      <c r="C15" s="81" t="s">
        <v>264</v>
      </c>
      <c r="D15" s="76" t="s">
        <v>74</v>
      </c>
      <c r="E15" s="77">
        <v>191334</v>
      </c>
      <c r="F15" s="78">
        <v>37490</v>
      </c>
      <c r="G15" s="78"/>
      <c r="H15" s="78" t="s">
        <v>521</v>
      </c>
      <c r="I15" s="78">
        <v>0</v>
      </c>
      <c r="J15" s="78">
        <v>765</v>
      </c>
      <c r="K15">
        <v>2141</v>
      </c>
      <c r="L15">
        <f>SUM(Table2[[#This Row],[2021 Reach]:[2023 Reach]])*5</f>
        <v>14530</v>
      </c>
      <c r="M15">
        <f>Table2[[#This Row],[2023 Reach]]*5</f>
        <v>10705</v>
      </c>
      <c r="N15" s="79">
        <f>IFERROR(Table2[[#This Row],[2023 Reach People]]/Table2[[#This Row],[2023 Affected People]],0)</f>
        <v>5.5949282406681511E-2</v>
      </c>
      <c r="O15">
        <f t="shared" si="0"/>
        <v>1</v>
      </c>
      <c r="P15">
        <f t="shared" si="1"/>
        <v>1</v>
      </c>
      <c r="Q15">
        <f t="shared" si="2"/>
        <v>0</v>
      </c>
      <c r="R15">
        <f t="shared" si="3"/>
        <v>0</v>
      </c>
      <c r="S15">
        <f t="shared" si="5"/>
        <v>1</v>
      </c>
      <c r="T15">
        <f>IF(Table2[[#This Row],[Access 2023]]="Hard to reach", 4, IF(Table2[[#This Row],[Access 2023]]="Partially Accessible", 3, 2))</f>
        <v>2</v>
      </c>
      <c r="U15">
        <v>3</v>
      </c>
      <c r="W15">
        <f>SUM(Table2[[#This Row],[PIN Score]],Table2[[#This Row],[Response 2023 Score]],Table2[[#This Row],[Neglected Locality Percentage Response]],Table2[[#This Row],[Security and Access]])</f>
        <v>4</v>
      </c>
      <c r="X15">
        <f t="shared" si="4"/>
        <v>1</v>
      </c>
    </row>
    <row r="16" spans="1:24" ht="24.6" x14ac:dyDescent="0.55000000000000004">
      <c r="A16" s="82" t="s">
        <v>443</v>
      </c>
      <c r="B16" s="81" t="s">
        <v>501</v>
      </c>
      <c r="C16" s="81" t="s">
        <v>265</v>
      </c>
      <c r="D16" s="76" t="s">
        <v>75</v>
      </c>
      <c r="E16" s="77">
        <v>0</v>
      </c>
      <c r="F16" s="78">
        <v>21065</v>
      </c>
      <c r="G16" s="78"/>
      <c r="H16" s="78" t="s">
        <v>522</v>
      </c>
      <c r="I16" s="78">
        <v>0</v>
      </c>
      <c r="J16" s="78">
        <v>0</v>
      </c>
      <c r="K16">
        <v>0</v>
      </c>
      <c r="L16">
        <f>SUM(Table2[[#This Row],[2021 Reach]:[2023 Reach]])*5</f>
        <v>0</v>
      </c>
      <c r="M16">
        <f>Table2[[#This Row],[2023 Reach]]*5</f>
        <v>0</v>
      </c>
      <c r="N16" s="79">
        <f>IFERROR(Table2[[#This Row],[2023 Reach People]]/Table2[[#This Row],[2023 Affected People]],0)</f>
        <v>0</v>
      </c>
      <c r="O16">
        <f t="shared" si="0"/>
        <v>1</v>
      </c>
      <c r="P16">
        <f t="shared" si="1"/>
        <v>1</v>
      </c>
      <c r="Q16">
        <f t="shared" si="2"/>
        <v>1</v>
      </c>
      <c r="R16">
        <f t="shared" si="3"/>
        <v>0</v>
      </c>
      <c r="S16">
        <f t="shared" si="5"/>
        <v>2</v>
      </c>
      <c r="T16">
        <f>IF(Table2[[#This Row],[Access 2023]]="Hard to reach", 4, IF(Table2[[#This Row],[Access 2023]]="Partially Accessible", 3, 2))</f>
        <v>3</v>
      </c>
      <c r="U16">
        <v>2</v>
      </c>
      <c r="W16">
        <f>SUM(Table2[[#This Row],[PIN Score]],Table2[[#This Row],[Response 2023 Score]],Table2[[#This Row],[Neglected Locality Percentage Response]],Table2[[#This Row],[Security and Access]])</f>
        <v>6</v>
      </c>
      <c r="X16">
        <f t="shared" si="4"/>
        <v>3</v>
      </c>
    </row>
    <row r="17" spans="1:24" x14ac:dyDescent="0.55000000000000004">
      <c r="A17" s="82" t="s">
        <v>443</v>
      </c>
      <c r="B17" s="81" t="s">
        <v>501</v>
      </c>
      <c r="C17" s="81" t="s">
        <v>266</v>
      </c>
      <c r="D17" s="76" t="s">
        <v>76</v>
      </c>
      <c r="E17" s="77">
        <v>47657</v>
      </c>
      <c r="F17" s="78">
        <v>20509</v>
      </c>
      <c r="G17" s="78"/>
      <c r="H17" s="78" t="s">
        <v>521</v>
      </c>
      <c r="I17" s="78">
        <v>877</v>
      </c>
      <c r="J17" s="78">
        <v>1817</v>
      </c>
      <c r="K17">
        <v>924</v>
      </c>
      <c r="L17">
        <f>SUM(Table2[[#This Row],[2021 Reach]:[2023 Reach]])*5</f>
        <v>18090</v>
      </c>
      <c r="M17">
        <f>Table2[[#This Row],[2023 Reach]]*5</f>
        <v>4620</v>
      </c>
      <c r="N17" s="79">
        <f>IFERROR(Table2[[#This Row],[2023 Reach People]]/Table2[[#This Row],[2023 Affected People]],0)</f>
        <v>9.6942736638898797E-2</v>
      </c>
      <c r="O17">
        <f t="shared" si="0"/>
        <v>1</v>
      </c>
      <c r="P17">
        <f t="shared" si="1"/>
        <v>0</v>
      </c>
      <c r="Q17">
        <f t="shared" si="2"/>
        <v>0</v>
      </c>
      <c r="R17">
        <f t="shared" si="3"/>
        <v>0</v>
      </c>
      <c r="S17">
        <f t="shared" si="5"/>
        <v>1</v>
      </c>
      <c r="T17">
        <f>IF(Table2[[#This Row],[Access 2023]]="Hard to reach", 4, IF(Table2[[#This Row],[Access 2023]]="Partially Accessible", 3, 2))</f>
        <v>2</v>
      </c>
      <c r="U17">
        <v>2</v>
      </c>
      <c r="W17">
        <f>SUM(Table2[[#This Row],[PIN Score]],Table2[[#This Row],[Response 2023 Score]],Table2[[#This Row],[Neglected Locality Percentage Response]],Table2[[#This Row],[Security and Access]])</f>
        <v>4</v>
      </c>
      <c r="X17">
        <f t="shared" si="4"/>
        <v>1</v>
      </c>
    </row>
    <row r="18" spans="1:24" ht="24.6" x14ac:dyDescent="0.55000000000000004">
      <c r="A18" s="82" t="s">
        <v>444</v>
      </c>
      <c r="B18" s="81" t="s">
        <v>502</v>
      </c>
      <c r="C18" s="81" t="s">
        <v>267</v>
      </c>
      <c r="D18" s="76" t="s">
        <v>77</v>
      </c>
      <c r="E18" s="77">
        <v>55843</v>
      </c>
      <c r="F18" s="78">
        <v>60988</v>
      </c>
      <c r="G18" s="78"/>
      <c r="H18" s="78" t="s">
        <v>522</v>
      </c>
      <c r="I18" s="78">
        <v>782</v>
      </c>
      <c r="J18" s="78">
        <v>1633</v>
      </c>
      <c r="K18">
        <v>238</v>
      </c>
      <c r="L18">
        <f>SUM(Table2[[#This Row],[2021 Reach]:[2023 Reach]])*5</f>
        <v>13265</v>
      </c>
      <c r="M18">
        <f>Table2[[#This Row],[2023 Reach]]*5</f>
        <v>1190</v>
      </c>
      <c r="N18" s="79">
        <f>IFERROR(Table2[[#This Row],[2023 Reach People]]/Table2[[#This Row],[2023 Affected People]],0)</f>
        <v>2.130974338771198E-2</v>
      </c>
      <c r="O18">
        <f t="shared" si="0"/>
        <v>1</v>
      </c>
      <c r="P18">
        <f t="shared" si="1"/>
        <v>0</v>
      </c>
      <c r="Q18">
        <f t="shared" si="2"/>
        <v>0</v>
      </c>
      <c r="R18">
        <f t="shared" si="3"/>
        <v>0</v>
      </c>
      <c r="S18">
        <f t="shared" si="5"/>
        <v>1</v>
      </c>
      <c r="T18">
        <f>IF(Table2[[#This Row],[Access 2023]]="Hard to reach", 4, IF(Table2[[#This Row],[Access 2023]]="Partially Accessible", 3, 2))</f>
        <v>3</v>
      </c>
      <c r="U18">
        <v>3</v>
      </c>
      <c r="W18">
        <f>SUM(Table2[[#This Row],[PIN Score]],Table2[[#This Row],[Response 2023 Score]],Table2[[#This Row],[Neglected Locality Percentage Response]],Table2[[#This Row],[Security and Access]])</f>
        <v>5</v>
      </c>
      <c r="X18">
        <f t="shared" si="4"/>
        <v>2</v>
      </c>
    </row>
    <row r="19" spans="1:24" ht="24.6" x14ac:dyDescent="0.55000000000000004">
      <c r="A19" s="82" t="s">
        <v>444</v>
      </c>
      <c r="B19" s="81" t="s">
        <v>502</v>
      </c>
      <c r="C19" s="81" t="s">
        <v>268</v>
      </c>
      <c r="D19" s="76" t="s">
        <v>78</v>
      </c>
      <c r="E19" s="77">
        <v>58585</v>
      </c>
      <c r="F19" s="78">
        <v>24109</v>
      </c>
      <c r="G19" s="78"/>
      <c r="H19" s="78" t="s">
        <v>522</v>
      </c>
      <c r="I19" s="78">
        <v>0</v>
      </c>
      <c r="J19" s="78">
        <v>0</v>
      </c>
      <c r="K19">
        <v>1493</v>
      </c>
      <c r="L19">
        <f>SUM(Table2[[#This Row],[2021 Reach]:[2023 Reach]])*5</f>
        <v>7465</v>
      </c>
      <c r="M19">
        <f>Table2[[#This Row],[2023 Reach]]*5</f>
        <v>7465</v>
      </c>
      <c r="N19" s="79">
        <f>IFERROR(Table2[[#This Row],[2023 Reach People]]/Table2[[#This Row],[2023 Affected People]],0)</f>
        <v>0.12742169497311598</v>
      </c>
      <c r="O19">
        <f t="shared" si="0"/>
        <v>1</v>
      </c>
      <c r="P19">
        <f t="shared" si="1"/>
        <v>1</v>
      </c>
      <c r="Q19">
        <f t="shared" si="2"/>
        <v>1</v>
      </c>
      <c r="R19">
        <f t="shared" si="3"/>
        <v>0</v>
      </c>
      <c r="S19">
        <f t="shared" si="5"/>
        <v>1</v>
      </c>
      <c r="T19">
        <f>IF(Table2[[#This Row],[Access 2023]]="Hard to reach", 4, IF(Table2[[#This Row],[Access 2023]]="Partially Accessible", 3, 2))</f>
        <v>3</v>
      </c>
      <c r="U19">
        <v>1</v>
      </c>
      <c r="W19">
        <f>SUM(Table2[[#This Row],[PIN Score]],Table2[[#This Row],[Response 2023 Score]],Table2[[#This Row],[Neglected Locality Percentage Response]],Table2[[#This Row],[Security and Access]])</f>
        <v>5</v>
      </c>
      <c r="X19">
        <f t="shared" si="4"/>
        <v>2</v>
      </c>
    </row>
    <row r="20" spans="1:24" ht="27.6" x14ac:dyDescent="0.55000000000000004">
      <c r="A20" s="82" t="s">
        <v>444</v>
      </c>
      <c r="B20" s="81" t="s">
        <v>502</v>
      </c>
      <c r="C20" s="81" t="s">
        <v>269</v>
      </c>
      <c r="D20" s="76" t="s">
        <v>79</v>
      </c>
      <c r="E20" s="77">
        <v>39698</v>
      </c>
      <c r="F20" s="78">
        <v>40634</v>
      </c>
      <c r="G20" s="78"/>
      <c r="H20" s="78" t="s">
        <v>522</v>
      </c>
      <c r="I20" s="78">
        <v>0</v>
      </c>
      <c r="J20" s="78">
        <v>0</v>
      </c>
      <c r="K20">
        <v>0</v>
      </c>
      <c r="L20">
        <f>SUM(Table2[[#This Row],[2021 Reach]:[2023 Reach]])*5</f>
        <v>0</v>
      </c>
      <c r="M20">
        <f>Table2[[#This Row],[2023 Reach]]*5</f>
        <v>0</v>
      </c>
      <c r="N20" s="79">
        <f>IFERROR(Table2[[#This Row],[2023 Reach People]]/Table2[[#This Row],[2023 Affected People]],0)</f>
        <v>0</v>
      </c>
      <c r="O20">
        <f t="shared" si="0"/>
        <v>1</v>
      </c>
      <c r="P20">
        <f t="shared" si="1"/>
        <v>1</v>
      </c>
      <c r="Q20">
        <f t="shared" si="2"/>
        <v>1</v>
      </c>
      <c r="R20">
        <f t="shared" si="3"/>
        <v>1</v>
      </c>
      <c r="S20">
        <f t="shared" si="5"/>
        <v>2</v>
      </c>
      <c r="T20">
        <f>IF(Table2[[#This Row],[Access 2023]]="Hard to reach", 4, IF(Table2[[#This Row],[Access 2023]]="Partially Accessible", 3, 2))</f>
        <v>3</v>
      </c>
      <c r="U20">
        <v>2</v>
      </c>
      <c r="W20">
        <f>SUM(Table2[[#This Row],[PIN Score]],Table2[[#This Row],[Response 2023 Score]],Table2[[#This Row],[Neglected Locality Percentage Response]],Table2[[#This Row],[Security and Access]])</f>
        <v>7</v>
      </c>
      <c r="X20">
        <f t="shared" si="4"/>
        <v>4</v>
      </c>
    </row>
    <row r="21" spans="1:24" ht="24.6" x14ac:dyDescent="0.55000000000000004">
      <c r="A21" s="82" t="s">
        <v>444</v>
      </c>
      <c r="B21" s="81" t="s">
        <v>502</v>
      </c>
      <c r="C21" s="81" t="s">
        <v>270</v>
      </c>
      <c r="D21" s="76" t="s">
        <v>80</v>
      </c>
      <c r="E21" s="77">
        <v>52737</v>
      </c>
      <c r="F21" s="78">
        <v>26314</v>
      </c>
      <c r="G21" s="78"/>
      <c r="H21" s="78" t="s">
        <v>522</v>
      </c>
      <c r="I21" s="78">
        <v>0</v>
      </c>
      <c r="J21" s="78">
        <v>0</v>
      </c>
      <c r="K21">
        <v>0</v>
      </c>
      <c r="L21">
        <f>SUM(Table2[[#This Row],[2021 Reach]:[2023 Reach]])*5</f>
        <v>0</v>
      </c>
      <c r="M21">
        <f>Table2[[#This Row],[2023 Reach]]*5</f>
        <v>0</v>
      </c>
      <c r="N21" s="79">
        <f>IFERROR(Table2[[#This Row],[2023 Reach People]]/Table2[[#This Row],[2023 Affected People]],0)</f>
        <v>0</v>
      </c>
      <c r="O21">
        <f t="shared" si="0"/>
        <v>1</v>
      </c>
      <c r="P21">
        <f t="shared" si="1"/>
        <v>1</v>
      </c>
      <c r="Q21">
        <f t="shared" si="2"/>
        <v>1</v>
      </c>
      <c r="R21">
        <f t="shared" si="3"/>
        <v>1</v>
      </c>
      <c r="S21">
        <f t="shared" si="5"/>
        <v>2</v>
      </c>
      <c r="T21">
        <f>IF(Table2[[#This Row],[Access 2023]]="Hard to reach", 4, IF(Table2[[#This Row],[Access 2023]]="Partially Accessible", 3, 2))</f>
        <v>3</v>
      </c>
      <c r="U21">
        <v>1</v>
      </c>
      <c r="W21">
        <f>SUM(Table2[[#This Row],[PIN Score]],Table2[[#This Row],[Response 2023 Score]],Table2[[#This Row],[Neglected Locality Percentage Response]],Table2[[#This Row],[Security and Access]])</f>
        <v>7</v>
      </c>
      <c r="X21">
        <f t="shared" si="4"/>
        <v>4</v>
      </c>
    </row>
    <row r="22" spans="1:24" ht="27.6" x14ac:dyDescent="0.55000000000000004">
      <c r="A22" s="82" t="s">
        <v>444</v>
      </c>
      <c r="B22" s="81" t="s">
        <v>502</v>
      </c>
      <c r="C22" s="81" t="s">
        <v>271</v>
      </c>
      <c r="D22" s="76" t="s">
        <v>81</v>
      </c>
      <c r="E22" s="77">
        <v>16046</v>
      </c>
      <c r="F22" s="78">
        <v>90729</v>
      </c>
      <c r="G22" s="78"/>
      <c r="H22" s="78" t="s">
        <v>522</v>
      </c>
      <c r="I22" s="78">
        <v>1500</v>
      </c>
      <c r="J22" s="78">
        <v>0</v>
      </c>
      <c r="K22">
        <v>0</v>
      </c>
      <c r="L22">
        <f>SUM(Table2[[#This Row],[2021 Reach]:[2023 Reach]])*5</f>
        <v>7500</v>
      </c>
      <c r="M22">
        <f>Table2[[#This Row],[2023 Reach]]*5</f>
        <v>0</v>
      </c>
      <c r="N22" s="79">
        <f>IFERROR(Table2[[#This Row],[2023 Reach People]]/Table2[[#This Row],[2023 Affected People]],0)</f>
        <v>0</v>
      </c>
      <c r="O22">
        <f t="shared" si="0"/>
        <v>1</v>
      </c>
      <c r="P22">
        <f t="shared" si="1"/>
        <v>0</v>
      </c>
      <c r="Q22">
        <f t="shared" si="2"/>
        <v>1</v>
      </c>
      <c r="R22">
        <f t="shared" si="3"/>
        <v>1</v>
      </c>
      <c r="S22">
        <f t="shared" si="5"/>
        <v>2</v>
      </c>
      <c r="T22">
        <f>IF(Table2[[#This Row],[Access 2023]]="Hard to reach", 4, IF(Table2[[#This Row],[Access 2023]]="Partially Accessible", 3, 2))</f>
        <v>3</v>
      </c>
      <c r="U22">
        <v>4</v>
      </c>
      <c r="W22">
        <f>SUM(Table2[[#This Row],[PIN Score]],Table2[[#This Row],[Response 2023 Score]],Table2[[#This Row],[Neglected Locality Percentage Response]],Table2[[#This Row],[Security and Access]])</f>
        <v>7</v>
      </c>
      <c r="X22">
        <f t="shared" si="4"/>
        <v>4</v>
      </c>
    </row>
    <row r="23" spans="1:24" ht="24.6" x14ac:dyDescent="0.55000000000000004">
      <c r="A23" s="82" t="s">
        <v>444</v>
      </c>
      <c r="B23" s="81" t="s">
        <v>502</v>
      </c>
      <c r="C23" s="81" t="s">
        <v>272</v>
      </c>
      <c r="D23" s="76" t="s">
        <v>82</v>
      </c>
      <c r="E23" s="77">
        <v>39694</v>
      </c>
      <c r="F23" s="78">
        <v>49230</v>
      </c>
      <c r="G23" s="78"/>
      <c r="H23" s="78" t="s">
        <v>522</v>
      </c>
      <c r="I23" s="78">
        <v>857</v>
      </c>
      <c r="J23" s="78">
        <v>0</v>
      </c>
      <c r="K23">
        <v>0</v>
      </c>
      <c r="L23">
        <f>SUM(Table2[[#This Row],[2021 Reach]:[2023 Reach]])*5</f>
        <v>4285</v>
      </c>
      <c r="M23">
        <f>Table2[[#This Row],[2023 Reach]]*5</f>
        <v>0</v>
      </c>
      <c r="N23" s="79">
        <f>IFERROR(Table2[[#This Row],[2023 Reach People]]/Table2[[#This Row],[2023 Affected People]],0)</f>
        <v>0</v>
      </c>
      <c r="O23">
        <f t="shared" si="0"/>
        <v>1</v>
      </c>
      <c r="P23">
        <f t="shared" si="1"/>
        <v>0</v>
      </c>
      <c r="Q23">
        <f t="shared" si="2"/>
        <v>1</v>
      </c>
      <c r="R23">
        <f t="shared" si="3"/>
        <v>1</v>
      </c>
      <c r="S23">
        <f t="shared" si="5"/>
        <v>2</v>
      </c>
      <c r="T23">
        <f>IF(Table2[[#This Row],[Access 2023]]="Hard to reach", 4, IF(Table2[[#This Row],[Access 2023]]="Partially Accessible", 3, 2))</f>
        <v>3</v>
      </c>
      <c r="U23">
        <v>3</v>
      </c>
      <c r="W23">
        <f>SUM(Table2[[#This Row],[PIN Score]],Table2[[#This Row],[Response 2023 Score]],Table2[[#This Row],[Neglected Locality Percentage Response]],Table2[[#This Row],[Security and Access]])</f>
        <v>7</v>
      </c>
      <c r="X23">
        <f t="shared" si="4"/>
        <v>4</v>
      </c>
    </row>
    <row r="24" spans="1:24" ht="24.6" x14ac:dyDescent="0.55000000000000004">
      <c r="A24" s="82" t="s">
        <v>444</v>
      </c>
      <c r="B24" s="81" t="s">
        <v>502</v>
      </c>
      <c r="C24" s="81" t="s">
        <v>273</v>
      </c>
      <c r="D24" s="76" t="s">
        <v>83</v>
      </c>
      <c r="E24" s="77">
        <v>62304</v>
      </c>
      <c r="F24" s="78">
        <v>56468</v>
      </c>
      <c r="G24" s="78"/>
      <c r="H24" s="78" t="s">
        <v>522</v>
      </c>
      <c r="I24" s="78">
        <v>0</v>
      </c>
      <c r="J24" s="78">
        <v>2000</v>
      </c>
      <c r="K24">
        <v>0</v>
      </c>
      <c r="L24">
        <f>SUM(Table2[[#This Row],[2021 Reach]:[2023 Reach]])*5</f>
        <v>10000</v>
      </c>
      <c r="M24">
        <f>Table2[[#This Row],[2023 Reach]]*5</f>
        <v>0</v>
      </c>
      <c r="N24" s="79">
        <f>IFERROR(Table2[[#This Row],[2023 Reach People]]/Table2[[#This Row],[2023 Affected People]],0)</f>
        <v>0</v>
      </c>
      <c r="O24">
        <f t="shared" si="0"/>
        <v>1</v>
      </c>
      <c r="P24">
        <f t="shared" si="1"/>
        <v>1</v>
      </c>
      <c r="Q24">
        <f t="shared" si="2"/>
        <v>0</v>
      </c>
      <c r="R24">
        <f t="shared" si="3"/>
        <v>1</v>
      </c>
      <c r="S24">
        <f t="shared" si="5"/>
        <v>2</v>
      </c>
      <c r="T24">
        <f>IF(Table2[[#This Row],[Access 2023]]="Hard to reach", 4, IF(Table2[[#This Row],[Access 2023]]="Partially Accessible", 3, 2))</f>
        <v>3</v>
      </c>
      <c r="U24">
        <v>2</v>
      </c>
      <c r="W24">
        <f>SUM(Table2[[#This Row],[PIN Score]],Table2[[#This Row],[Response 2023 Score]],Table2[[#This Row],[Neglected Locality Percentage Response]],Table2[[#This Row],[Security and Access]])</f>
        <v>7</v>
      </c>
      <c r="X24">
        <f t="shared" si="4"/>
        <v>4</v>
      </c>
    </row>
    <row r="25" spans="1:24" ht="27.6" x14ac:dyDescent="0.55000000000000004">
      <c r="A25" s="82" t="s">
        <v>444</v>
      </c>
      <c r="B25" s="81" t="s">
        <v>502</v>
      </c>
      <c r="C25" s="81" t="s">
        <v>274</v>
      </c>
      <c r="D25" s="76" t="s">
        <v>84</v>
      </c>
      <c r="E25" s="77">
        <v>28522</v>
      </c>
      <c r="F25" s="78">
        <v>76772</v>
      </c>
      <c r="G25" s="78"/>
      <c r="H25" s="78" t="s">
        <v>522</v>
      </c>
      <c r="I25" s="78">
        <v>7890</v>
      </c>
      <c r="J25" s="78">
        <v>0</v>
      </c>
      <c r="K25">
        <v>0</v>
      </c>
      <c r="L25">
        <f>SUM(Table2[[#This Row],[2021 Reach]:[2023 Reach]])*5</f>
        <v>39450</v>
      </c>
      <c r="M25">
        <f>Table2[[#This Row],[2023 Reach]]*5</f>
        <v>0</v>
      </c>
      <c r="N25" s="79">
        <f>IFERROR(Table2[[#This Row],[2023 Reach People]]/Table2[[#This Row],[2023 Affected People]],0)</f>
        <v>0</v>
      </c>
      <c r="O25">
        <f t="shared" si="0"/>
        <v>1</v>
      </c>
      <c r="P25">
        <f t="shared" si="1"/>
        <v>0</v>
      </c>
      <c r="Q25">
        <f t="shared" si="2"/>
        <v>1</v>
      </c>
      <c r="R25">
        <f t="shared" si="3"/>
        <v>1</v>
      </c>
      <c r="S25">
        <f t="shared" si="5"/>
        <v>2</v>
      </c>
      <c r="T25">
        <f>IF(Table2[[#This Row],[Access 2023]]="Hard to reach", 4, IF(Table2[[#This Row],[Access 2023]]="Partially Accessible", 3, 2))</f>
        <v>3</v>
      </c>
      <c r="U25">
        <v>2</v>
      </c>
      <c r="W25">
        <f>SUM(Table2[[#This Row],[PIN Score]],Table2[[#This Row],[Response 2023 Score]],Table2[[#This Row],[Neglected Locality Percentage Response]],Table2[[#This Row],[Security and Access]])</f>
        <v>7</v>
      </c>
      <c r="X25">
        <f t="shared" si="4"/>
        <v>4</v>
      </c>
    </row>
    <row r="26" spans="1:24" x14ac:dyDescent="0.55000000000000004">
      <c r="A26" s="82" t="s">
        <v>444</v>
      </c>
      <c r="B26" s="81" t="s">
        <v>502</v>
      </c>
      <c r="C26" s="81" t="s">
        <v>275</v>
      </c>
      <c r="D26" s="76" t="s">
        <v>85</v>
      </c>
      <c r="E26" s="77">
        <v>85670</v>
      </c>
      <c r="F26" s="78">
        <v>270330</v>
      </c>
      <c r="G26" s="78"/>
      <c r="H26" s="78" t="s">
        <v>520</v>
      </c>
      <c r="I26" s="78">
        <v>0</v>
      </c>
      <c r="J26" s="78">
        <v>860</v>
      </c>
      <c r="K26">
        <v>0</v>
      </c>
      <c r="L26">
        <f>SUM(Table2[[#This Row],[2021 Reach]:[2023 Reach]])*5</f>
        <v>4300</v>
      </c>
      <c r="M26">
        <f>Table2[[#This Row],[2023 Reach]]*5</f>
        <v>0</v>
      </c>
      <c r="N26" s="79">
        <f>IFERROR(Table2[[#This Row],[2023 Reach People]]/Table2[[#This Row],[2023 Affected People]],0)</f>
        <v>0</v>
      </c>
      <c r="O26">
        <f t="shared" si="0"/>
        <v>4</v>
      </c>
      <c r="P26">
        <f t="shared" si="1"/>
        <v>1</v>
      </c>
      <c r="Q26">
        <f t="shared" si="2"/>
        <v>0</v>
      </c>
      <c r="R26">
        <f t="shared" si="3"/>
        <v>1</v>
      </c>
      <c r="S26">
        <f t="shared" si="5"/>
        <v>2</v>
      </c>
      <c r="T26">
        <f>IF(Table2[[#This Row],[Access 2023]]="Hard to reach", 4, IF(Table2[[#This Row],[Access 2023]]="Partially Accessible", 3, 2))</f>
        <v>4</v>
      </c>
      <c r="U26">
        <v>4</v>
      </c>
      <c r="W26">
        <f>SUM(Table2[[#This Row],[PIN Score]],Table2[[#This Row],[Response 2023 Score]],Table2[[#This Row],[Neglected Locality Percentage Response]],Table2[[#This Row],[Security and Access]])</f>
        <v>11</v>
      </c>
      <c r="X26">
        <f t="shared" si="4"/>
        <v>5</v>
      </c>
    </row>
    <row r="27" spans="1:24" ht="24.6" x14ac:dyDescent="0.55000000000000004">
      <c r="A27" s="82" t="s">
        <v>445</v>
      </c>
      <c r="B27" s="81" t="s">
        <v>503</v>
      </c>
      <c r="C27" s="81" t="s">
        <v>276</v>
      </c>
      <c r="D27" s="76" t="s">
        <v>86</v>
      </c>
      <c r="E27" s="77">
        <v>114776</v>
      </c>
      <c r="F27" s="78">
        <v>30525</v>
      </c>
      <c r="G27" s="78"/>
      <c r="H27" s="78" t="s">
        <v>522</v>
      </c>
      <c r="I27" s="78">
        <v>2956</v>
      </c>
      <c r="J27" s="78">
        <v>2002</v>
      </c>
      <c r="K27">
        <v>500</v>
      </c>
      <c r="L27">
        <f>SUM(Table2[[#This Row],[2021 Reach]:[2023 Reach]])*5</f>
        <v>27290</v>
      </c>
      <c r="M27">
        <f>Table2[[#This Row],[2023 Reach]]*5</f>
        <v>2500</v>
      </c>
      <c r="N27" s="79">
        <f>IFERROR(Table2[[#This Row],[2023 Reach People]]/Table2[[#This Row],[2023 Affected People]],0)</f>
        <v>2.1781557119955393E-2</v>
      </c>
      <c r="O27">
        <f t="shared" si="0"/>
        <v>1</v>
      </c>
      <c r="P27">
        <f t="shared" si="1"/>
        <v>0</v>
      </c>
      <c r="Q27">
        <f t="shared" si="2"/>
        <v>0</v>
      </c>
      <c r="R27">
        <f t="shared" si="3"/>
        <v>0</v>
      </c>
      <c r="S27">
        <f t="shared" si="5"/>
        <v>1</v>
      </c>
      <c r="T27">
        <f>IF(Table2[[#This Row],[Access 2023]]="Hard to reach", 4, IF(Table2[[#This Row],[Access 2023]]="Partially Accessible", 3, 2))</f>
        <v>3</v>
      </c>
      <c r="U27">
        <v>3</v>
      </c>
      <c r="W27">
        <f>SUM(Table2[[#This Row],[PIN Score]],Table2[[#This Row],[Response 2023 Score]],Table2[[#This Row],[Neglected Locality Percentage Response]],Table2[[#This Row],[Security and Access]])</f>
        <v>5</v>
      </c>
      <c r="X27">
        <f t="shared" si="4"/>
        <v>2</v>
      </c>
    </row>
    <row r="28" spans="1:24" ht="24.6" x14ac:dyDescent="0.55000000000000004">
      <c r="A28" s="82" t="s">
        <v>445</v>
      </c>
      <c r="B28" s="81" t="s">
        <v>503</v>
      </c>
      <c r="C28" s="81" t="s">
        <v>277</v>
      </c>
      <c r="D28" s="76" t="s">
        <v>87</v>
      </c>
      <c r="E28" s="77">
        <v>125134</v>
      </c>
      <c r="F28" s="78">
        <v>32279</v>
      </c>
      <c r="G28" s="78"/>
      <c r="H28" s="78" t="s">
        <v>522</v>
      </c>
      <c r="I28" s="78">
        <v>270</v>
      </c>
      <c r="J28" s="78">
        <v>220</v>
      </c>
      <c r="K28">
        <v>250</v>
      </c>
      <c r="L28">
        <f>SUM(Table2[[#This Row],[2021 Reach]:[2023 Reach]])*5</f>
        <v>3700</v>
      </c>
      <c r="M28">
        <f>Table2[[#This Row],[2023 Reach]]*5</f>
        <v>1250</v>
      </c>
      <c r="N28" s="79">
        <f>IFERROR(Table2[[#This Row],[2023 Reach People]]/Table2[[#This Row],[2023 Affected People]],0)</f>
        <v>9.9892914795339394E-3</v>
      </c>
      <c r="O28">
        <f t="shared" si="0"/>
        <v>1</v>
      </c>
      <c r="P28">
        <f t="shared" si="1"/>
        <v>0</v>
      </c>
      <c r="Q28">
        <f t="shared" si="2"/>
        <v>0</v>
      </c>
      <c r="R28">
        <f t="shared" si="3"/>
        <v>0</v>
      </c>
      <c r="S28">
        <f t="shared" si="5"/>
        <v>1</v>
      </c>
      <c r="T28">
        <f>IF(Table2[[#This Row],[Access 2023]]="Hard to reach", 4, IF(Table2[[#This Row],[Access 2023]]="Partially Accessible", 3, 2))</f>
        <v>3</v>
      </c>
      <c r="U28">
        <v>3</v>
      </c>
      <c r="W28">
        <f>SUM(Table2[[#This Row],[PIN Score]],Table2[[#This Row],[Response 2023 Score]],Table2[[#This Row],[Neglected Locality Percentage Response]],Table2[[#This Row],[Security and Access]])</f>
        <v>5</v>
      </c>
      <c r="X28">
        <f t="shared" si="4"/>
        <v>2</v>
      </c>
    </row>
    <row r="29" spans="1:24" ht="24.6" x14ac:dyDescent="0.55000000000000004">
      <c r="A29" s="82" t="s">
        <v>445</v>
      </c>
      <c r="B29" s="81" t="s">
        <v>503</v>
      </c>
      <c r="C29" s="81" t="s">
        <v>278</v>
      </c>
      <c r="D29" s="76" t="s">
        <v>88</v>
      </c>
      <c r="E29" s="77">
        <v>84466</v>
      </c>
      <c r="F29" s="78">
        <v>150651</v>
      </c>
      <c r="G29" s="78"/>
      <c r="H29" s="78" t="s">
        <v>522</v>
      </c>
      <c r="I29" s="78">
        <v>341</v>
      </c>
      <c r="J29" s="78">
        <v>3031</v>
      </c>
      <c r="K29">
        <v>2040</v>
      </c>
      <c r="L29">
        <f>SUM(Table2[[#This Row],[2021 Reach]:[2023 Reach]])*5</f>
        <v>27060</v>
      </c>
      <c r="M29">
        <f>Table2[[#This Row],[2023 Reach]]*5</f>
        <v>10200</v>
      </c>
      <c r="N29" s="79">
        <f>IFERROR(Table2[[#This Row],[2023 Reach People]]/Table2[[#This Row],[2023 Affected People]],0)</f>
        <v>0.12075864845026402</v>
      </c>
      <c r="O29">
        <f t="shared" si="0"/>
        <v>3</v>
      </c>
      <c r="P29">
        <f t="shared" si="1"/>
        <v>0</v>
      </c>
      <c r="Q29">
        <f t="shared" si="2"/>
        <v>0</v>
      </c>
      <c r="R29">
        <f t="shared" si="3"/>
        <v>0</v>
      </c>
      <c r="S29">
        <f t="shared" si="5"/>
        <v>1</v>
      </c>
      <c r="T29">
        <f>IF(Table2[[#This Row],[Access 2023]]="Hard to reach", 4, IF(Table2[[#This Row],[Access 2023]]="Partially Accessible", 3, 2))</f>
        <v>3</v>
      </c>
      <c r="U29">
        <v>4</v>
      </c>
      <c r="W29">
        <f>SUM(Table2[[#This Row],[PIN Score]],Table2[[#This Row],[Response 2023 Score]],Table2[[#This Row],[Neglected Locality Percentage Response]],Table2[[#This Row],[Security and Access]])</f>
        <v>7</v>
      </c>
      <c r="X29">
        <f t="shared" si="4"/>
        <v>4</v>
      </c>
    </row>
    <row r="30" spans="1:24" ht="24.6" x14ac:dyDescent="0.55000000000000004">
      <c r="A30" s="82" t="s">
        <v>445</v>
      </c>
      <c r="B30" s="81" t="s">
        <v>503</v>
      </c>
      <c r="C30" s="81" t="s">
        <v>279</v>
      </c>
      <c r="D30" s="76" t="s">
        <v>89</v>
      </c>
      <c r="E30" s="77">
        <v>172396</v>
      </c>
      <c r="F30" s="78">
        <v>41170</v>
      </c>
      <c r="G30" s="78"/>
      <c r="H30" s="78" t="s">
        <v>522</v>
      </c>
      <c r="I30" s="78">
        <v>0</v>
      </c>
      <c r="J30" s="78">
        <v>162</v>
      </c>
      <c r="K30">
        <v>0</v>
      </c>
      <c r="L30">
        <f>SUM(Table2[[#This Row],[2021 Reach]:[2023 Reach]])*5</f>
        <v>810</v>
      </c>
      <c r="M30">
        <f>Table2[[#This Row],[2023 Reach]]*5</f>
        <v>0</v>
      </c>
      <c r="N30" s="79">
        <f>IFERROR(Table2[[#This Row],[2023 Reach People]]/Table2[[#This Row],[2023 Affected People]],0)</f>
        <v>0</v>
      </c>
      <c r="O30">
        <f t="shared" si="0"/>
        <v>1</v>
      </c>
      <c r="P30">
        <f t="shared" si="1"/>
        <v>1</v>
      </c>
      <c r="Q30">
        <f t="shared" si="2"/>
        <v>0</v>
      </c>
      <c r="R30">
        <f t="shared" si="3"/>
        <v>1</v>
      </c>
      <c r="S30">
        <f t="shared" si="5"/>
        <v>2</v>
      </c>
      <c r="T30">
        <f>IF(Table2[[#This Row],[Access 2023]]="Hard to reach", 4, IF(Table2[[#This Row],[Access 2023]]="Partially Accessible", 3, 2))</f>
        <v>3</v>
      </c>
      <c r="U30">
        <v>3</v>
      </c>
      <c r="W30">
        <f>SUM(Table2[[#This Row],[PIN Score]],Table2[[#This Row],[Response 2023 Score]],Table2[[#This Row],[Neglected Locality Percentage Response]],Table2[[#This Row],[Security and Access]])</f>
        <v>7</v>
      </c>
      <c r="X30">
        <f t="shared" si="4"/>
        <v>4</v>
      </c>
    </row>
    <row r="31" spans="1:24" ht="24.6" x14ac:dyDescent="0.55000000000000004">
      <c r="A31" s="82" t="s">
        <v>445</v>
      </c>
      <c r="B31" s="81" t="s">
        <v>503</v>
      </c>
      <c r="C31" s="81" t="s">
        <v>280</v>
      </c>
      <c r="D31" s="76" t="s">
        <v>90</v>
      </c>
      <c r="E31" s="77">
        <v>280800</v>
      </c>
      <c r="F31" s="78">
        <v>40327</v>
      </c>
      <c r="G31" s="78"/>
      <c r="H31" s="78" t="s">
        <v>522</v>
      </c>
      <c r="I31" s="78">
        <v>1664</v>
      </c>
      <c r="J31" s="78">
        <v>400</v>
      </c>
      <c r="K31">
        <v>500</v>
      </c>
      <c r="L31">
        <f>SUM(Table2[[#This Row],[2021 Reach]:[2023 Reach]])*5</f>
        <v>12820</v>
      </c>
      <c r="M31">
        <f>Table2[[#This Row],[2023 Reach]]*5</f>
        <v>2500</v>
      </c>
      <c r="N31" s="79">
        <f>IFERROR(Table2[[#This Row],[2023 Reach People]]/Table2[[#This Row],[2023 Affected People]],0)</f>
        <v>8.9031339031339033E-3</v>
      </c>
      <c r="O31">
        <f t="shared" si="0"/>
        <v>1</v>
      </c>
      <c r="P31">
        <f t="shared" si="1"/>
        <v>0</v>
      </c>
      <c r="Q31">
        <f t="shared" si="2"/>
        <v>0</v>
      </c>
      <c r="R31">
        <f t="shared" si="3"/>
        <v>0</v>
      </c>
      <c r="S31">
        <f t="shared" si="5"/>
        <v>1</v>
      </c>
      <c r="T31">
        <f>IF(Table2[[#This Row],[Access 2023]]="Hard to reach", 4, IF(Table2[[#This Row],[Access 2023]]="Partially Accessible", 3, 2))</f>
        <v>3</v>
      </c>
      <c r="U31">
        <v>3</v>
      </c>
      <c r="W31">
        <f>SUM(Table2[[#This Row],[PIN Score]],Table2[[#This Row],[Response 2023 Score]],Table2[[#This Row],[Neglected Locality Percentage Response]],Table2[[#This Row],[Security and Access]])</f>
        <v>5</v>
      </c>
      <c r="X31">
        <f t="shared" si="4"/>
        <v>2</v>
      </c>
    </row>
    <row r="32" spans="1:24" ht="24.6" x14ac:dyDescent="0.55000000000000004">
      <c r="A32" s="82" t="s">
        <v>445</v>
      </c>
      <c r="B32" s="81" t="s">
        <v>503</v>
      </c>
      <c r="C32" s="81" t="s">
        <v>281</v>
      </c>
      <c r="D32" s="76" t="s">
        <v>91</v>
      </c>
      <c r="E32" s="77">
        <v>87800</v>
      </c>
      <c r="F32" s="78">
        <v>20530</v>
      </c>
      <c r="G32" s="78"/>
      <c r="H32" s="78" t="s">
        <v>522</v>
      </c>
      <c r="I32" s="78">
        <v>1512</v>
      </c>
      <c r="J32" s="78">
        <v>2335</v>
      </c>
      <c r="K32">
        <v>0</v>
      </c>
      <c r="L32">
        <f>SUM(Table2[[#This Row],[2021 Reach]:[2023 Reach]])*5</f>
        <v>19235</v>
      </c>
      <c r="M32">
        <f>Table2[[#This Row],[2023 Reach]]*5</f>
        <v>0</v>
      </c>
      <c r="N32" s="79">
        <f>IFERROR(Table2[[#This Row],[2023 Reach People]]/Table2[[#This Row],[2023 Affected People]],0)</f>
        <v>0</v>
      </c>
      <c r="O32">
        <f t="shared" si="0"/>
        <v>1</v>
      </c>
      <c r="P32">
        <f t="shared" si="1"/>
        <v>0</v>
      </c>
      <c r="Q32">
        <f t="shared" si="2"/>
        <v>0</v>
      </c>
      <c r="R32">
        <f t="shared" si="3"/>
        <v>1</v>
      </c>
      <c r="S32">
        <f t="shared" si="5"/>
        <v>2</v>
      </c>
      <c r="T32">
        <f>IF(Table2[[#This Row],[Access 2023]]="Hard to reach", 4, IF(Table2[[#This Row],[Access 2023]]="Partially Accessible", 3, 2))</f>
        <v>3</v>
      </c>
      <c r="U32">
        <v>2</v>
      </c>
      <c r="W32">
        <f>SUM(Table2[[#This Row],[PIN Score]],Table2[[#This Row],[Response 2023 Score]],Table2[[#This Row],[Neglected Locality Percentage Response]],Table2[[#This Row],[Security and Access]])</f>
        <v>7</v>
      </c>
      <c r="X32">
        <f t="shared" si="4"/>
        <v>4</v>
      </c>
    </row>
    <row r="33" spans="1:24" ht="24.6" x14ac:dyDescent="0.55000000000000004">
      <c r="A33" s="82" t="s">
        <v>445</v>
      </c>
      <c r="B33" s="81" t="s">
        <v>503</v>
      </c>
      <c r="C33" s="81" t="s">
        <v>282</v>
      </c>
      <c r="D33" s="76" t="s">
        <v>92</v>
      </c>
      <c r="E33" s="77">
        <v>76365</v>
      </c>
      <c r="F33" s="78">
        <v>80663</v>
      </c>
      <c r="G33" s="78"/>
      <c r="H33" s="78" t="s">
        <v>522</v>
      </c>
      <c r="I33" s="78">
        <v>30909</v>
      </c>
      <c r="J33" s="78">
        <v>2398</v>
      </c>
      <c r="K33">
        <v>0</v>
      </c>
      <c r="L33">
        <f>SUM(Table2[[#This Row],[2021 Reach]:[2023 Reach]])*5</f>
        <v>166535</v>
      </c>
      <c r="M33">
        <f>Table2[[#This Row],[2023 Reach]]*5</f>
        <v>0</v>
      </c>
      <c r="N33" s="79">
        <f>IFERROR(Table2[[#This Row],[2023 Reach People]]/Table2[[#This Row],[2023 Affected People]],0)</f>
        <v>0</v>
      </c>
      <c r="O33">
        <f t="shared" si="0"/>
        <v>1</v>
      </c>
      <c r="P33">
        <f t="shared" si="1"/>
        <v>0</v>
      </c>
      <c r="Q33">
        <f t="shared" si="2"/>
        <v>0</v>
      </c>
      <c r="R33">
        <f t="shared" si="3"/>
        <v>1</v>
      </c>
      <c r="S33">
        <f t="shared" si="5"/>
        <v>2</v>
      </c>
      <c r="T33">
        <f>IF(Table2[[#This Row],[Access 2023]]="Hard to reach", 4, IF(Table2[[#This Row],[Access 2023]]="Partially Accessible", 3, 2))</f>
        <v>3</v>
      </c>
      <c r="U33">
        <v>4</v>
      </c>
      <c r="W33">
        <f>SUM(Table2[[#This Row],[PIN Score]],Table2[[#This Row],[Response 2023 Score]],Table2[[#This Row],[Neglected Locality Percentage Response]],Table2[[#This Row],[Security and Access]])</f>
        <v>7</v>
      </c>
      <c r="X33">
        <f t="shared" si="4"/>
        <v>4</v>
      </c>
    </row>
    <row r="34" spans="1:24" ht="24.6" x14ac:dyDescent="0.55000000000000004">
      <c r="A34" s="82" t="s">
        <v>445</v>
      </c>
      <c r="B34" s="81" t="s">
        <v>503</v>
      </c>
      <c r="C34" s="81" t="s">
        <v>283</v>
      </c>
      <c r="D34" s="76" t="s">
        <v>93</v>
      </c>
      <c r="E34" s="77">
        <v>43185</v>
      </c>
      <c r="F34" s="78">
        <v>55328</v>
      </c>
      <c r="G34" s="78"/>
      <c r="H34" s="78" t="s">
        <v>522</v>
      </c>
      <c r="I34" s="78">
        <v>0</v>
      </c>
      <c r="J34" s="78">
        <v>0</v>
      </c>
      <c r="K34">
        <v>0</v>
      </c>
      <c r="L34">
        <f>SUM(Table2[[#This Row],[2021 Reach]:[2023 Reach]])*5</f>
        <v>0</v>
      </c>
      <c r="M34">
        <f>Table2[[#This Row],[2023 Reach]]*5</f>
        <v>0</v>
      </c>
      <c r="N34" s="79">
        <f>IFERROR(Table2[[#This Row],[2023 Reach People]]/Table2[[#This Row],[2023 Affected People]],0)</f>
        <v>0</v>
      </c>
      <c r="O34">
        <f t="shared" si="0"/>
        <v>1</v>
      </c>
      <c r="P34">
        <f t="shared" ref="P34:P65" si="6">IF(I34=0,1,0)</f>
        <v>1</v>
      </c>
      <c r="Q34">
        <f t="shared" ref="Q34:Q65" si="7">IF(J34=0,1,0)</f>
        <v>1</v>
      </c>
      <c r="R34">
        <f t="shared" si="3"/>
        <v>1</v>
      </c>
      <c r="S34">
        <f t="shared" si="5"/>
        <v>2</v>
      </c>
      <c r="T34">
        <f>IF(Table2[[#This Row],[Access 2023]]="Hard to reach", 4, IF(Table2[[#This Row],[Access 2023]]="Partially Accessible", 3, 2))</f>
        <v>3</v>
      </c>
      <c r="U34">
        <v>4</v>
      </c>
      <c r="W34">
        <f>SUM(Table2[[#This Row],[PIN Score]],Table2[[#This Row],[Response 2023 Score]],Table2[[#This Row],[Neglected Locality Percentage Response]],Table2[[#This Row],[Security and Access]])</f>
        <v>7</v>
      </c>
      <c r="X34">
        <f t="shared" ref="X34:X65" si="8">IF(W34&lt;=4, 1, IF(W34&lt;6, 2, IF(W34&lt;7, 3, IF(W34&lt;8, 4, 5))))</f>
        <v>4</v>
      </c>
    </row>
    <row r="35" spans="1:24" ht="24.6" x14ac:dyDescent="0.55000000000000004">
      <c r="A35" s="82" t="s">
        <v>445</v>
      </c>
      <c r="B35" s="81" t="s">
        <v>503</v>
      </c>
      <c r="C35" s="81" t="s">
        <v>284</v>
      </c>
      <c r="D35" s="76" t="s">
        <v>94</v>
      </c>
      <c r="E35" s="77">
        <v>115911</v>
      </c>
      <c r="F35" s="78">
        <v>39946</v>
      </c>
      <c r="G35" s="78"/>
      <c r="H35" s="78" t="s">
        <v>522</v>
      </c>
      <c r="I35" s="78">
        <v>0</v>
      </c>
      <c r="J35" s="78">
        <v>1087</v>
      </c>
      <c r="K35">
        <v>823</v>
      </c>
      <c r="L35">
        <f>SUM(Table2[[#This Row],[2021 Reach]:[2023 Reach]])*5</f>
        <v>9550</v>
      </c>
      <c r="M35">
        <f>Table2[[#This Row],[2023 Reach]]*5</f>
        <v>4115</v>
      </c>
      <c r="N35" s="79">
        <f>IFERROR(Table2[[#This Row],[2023 Reach People]]/Table2[[#This Row],[2023 Affected People]],0)</f>
        <v>3.5501376055766927E-2</v>
      </c>
      <c r="O35">
        <f t="shared" si="0"/>
        <v>1</v>
      </c>
      <c r="P35">
        <f t="shared" si="6"/>
        <v>1</v>
      </c>
      <c r="Q35">
        <f t="shared" si="7"/>
        <v>0</v>
      </c>
      <c r="R35">
        <f t="shared" si="3"/>
        <v>0</v>
      </c>
      <c r="S35">
        <f t="shared" si="5"/>
        <v>1</v>
      </c>
      <c r="T35">
        <f>IF(Table2[[#This Row],[Access 2023]]="Hard to reach", 4, IF(Table2[[#This Row],[Access 2023]]="Partially Accessible", 3, 2))</f>
        <v>3</v>
      </c>
      <c r="U35">
        <v>4</v>
      </c>
      <c r="W35">
        <f>SUM(Table2[[#This Row],[PIN Score]],Table2[[#This Row],[Response 2023 Score]],Table2[[#This Row],[Neglected Locality Percentage Response]],Table2[[#This Row],[Security and Access]])</f>
        <v>5</v>
      </c>
      <c r="X35">
        <f t="shared" si="8"/>
        <v>2</v>
      </c>
    </row>
    <row r="36" spans="1:24" x14ac:dyDescent="0.55000000000000004">
      <c r="A36" s="82" t="s">
        <v>446</v>
      </c>
      <c r="B36" s="81" t="s">
        <v>504</v>
      </c>
      <c r="C36" s="81" t="s">
        <v>285</v>
      </c>
      <c r="D36" s="76" t="s">
        <v>95</v>
      </c>
      <c r="E36" s="77">
        <v>149843</v>
      </c>
      <c r="F36" s="78">
        <v>0</v>
      </c>
      <c r="G36" s="78"/>
      <c r="H36" s="78" t="s">
        <v>521</v>
      </c>
      <c r="I36" s="78">
        <v>0</v>
      </c>
      <c r="J36" s="78">
        <v>0</v>
      </c>
      <c r="K36">
        <v>0</v>
      </c>
      <c r="L36">
        <f>SUM(Table2[[#This Row],[2021 Reach]:[2023 Reach]])*5</f>
        <v>0</v>
      </c>
      <c r="M36">
        <f>Table2[[#This Row],[2023 Reach]]*5</f>
        <v>0</v>
      </c>
      <c r="N36" s="79">
        <f>IFERROR(Table2[[#This Row],[2023 Reach People]]/Table2[[#This Row],[2023 Affected People]],0)</f>
        <v>0</v>
      </c>
      <c r="O36">
        <f t="shared" si="0"/>
        <v>0</v>
      </c>
      <c r="P36">
        <f t="shared" si="6"/>
        <v>1</v>
      </c>
      <c r="Q36">
        <f t="shared" si="7"/>
        <v>1</v>
      </c>
      <c r="R36">
        <f t="shared" si="3"/>
        <v>1</v>
      </c>
      <c r="S36">
        <f t="shared" si="5"/>
        <v>2</v>
      </c>
      <c r="T36">
        <f>IF(Table2[[#This Row],[Access 2023]]="Hard to reach", 4, IF(Table2[[#This Row],[Access 2023]]="Partially Accessible", 3, 2))</f>
        <v>2</v>
      </c>
      <c r="U36">
        <v>2</v>
      </c>
      <c r="W36">
        <f>SUM(Table2[[#This Row],[PIN Score]],Table2[[#This Row],[Response 2023 Score]],Table2[[#This Row],[Neglected Locality Percentage Response]],Table2[[#This Row],[Security and Access]])</f>
        <v>5</v>
      </c>
      <c r="X36">
        <f t="shared" si="8"/>
        <v>2</v>
      </c>
    </row>
    <row r="37" spans="1:24" x14ac:dyDescent="0.55000000000000004">
      <c r="A37" s="82" t="s">
        <v>446</v>
      </c>
      <c r="B37" s="81" t="s">
        <v>504</v>
      </c>
      <c r="C37" s="81" t="s">
        <v>286</v>
      </c>
      <c r="D37" s="76" t="s">
        <v>96</v>
      </c>
      <c r="E37" s="77">
        <v>98048</v>
      </c>
      <c r="F37" s="78">
        <v>0</v>
      </c>
      <c r="G37" s="78"/>
      <c r="H37" s="78" t="s">
        <v>521</v>
      </c>
      <c r="I37" s="78">
        <v>0</v>
      </c>
      <c r="J37" s="78">
        <v>537</v>
      </c>
      <c r="K37">
        <v>5257</v>
      </c>
      <c r="L37">
        <f>SUM(Table2[[#This Row],[2021 Reach]:[2023 Reach]])*5</f>
        <v>28970</v>
      </c>
      <c r="M37">
        <f>Table2[[#This Row],[2023 Reach]]*5</f>
        <v>26285</v>
      </c>
      <c r="N37" s="79">
        <f>IFERROR(Table2[[#This Row],[2023 Reach People]]/Table2[[#This Row],[2023 Affected People]],0)</f>
        <v>0.26808297976501305</v>
      </c>
      <c r="O37">
        <f t="shared" si="0"/>
        <v>0</v>
      </c>
      <c r="P37">
        <f t="shared" si="6"/>
        <v>1</v>
      </c>
      <c r="Q37">
        <f t="shared" si="7"/>
        <v>0</v>
      </c>
      <c r="R37">
        <f t="shared" si="3"/>
        <v>0</v>
      </c>
      <c r="S37">
        <f t="shared" si="5"/>
        <v>1</v>
      </c>
      <c r="T37">
        <f>IF(Table2[[#This Row],[Access 2023]]="Hard to reach", 4, IF(Table2[[#This Row],[Access 2023]]="Partially Accessible", 3, 2))</f>
        <v>2</v>
      </c>
      <c r="U37">
        <v>2</v>
      </c>
      <c r="W37">
        <f>SUM(Table2[[#This Row],[PIN Score]],Table2[[#This Row],[Response 2023 Score]],Table2[[#This Row],[Neglected Locality Percentage Response]],Table2[[#This Row],[Security and Access]])</f>
        <v>3</v>
      </c>
      <c r="X37">
        <f t="shared" si="8"/>
        <v>1</v>
      </c>
    </row>
    <row r="38" spans="1:24" x14ac:dyDescent="0.55000000000000004">
      <c r="A38" s="82" t="s">
        <v>446</v>
      </c>
      <c r="B38" s="81" t="s">
        <v>504</v>
      </c>
      <c r="C38" s="81" t="s">
        <v>287</v>
      </c>
      <c r="D38" s="76" t="s">
        <v>97</v>
      </c>
      <c r="E38" s="77">
        <v>80620</v>
      </c>
      <c r="F38" s="78">
        <v>585</v>
      </c>
      <c r="G38" s="78"/>
      <c r="H38" s="78" t="s">
        <v>521</v>
      </c>
      <c r="I38" s="78">
        <v>0</v>
      </c>
      <c r="J38" s="78">
        <v>0</v>
      </c>
      <c r="K38">
        <v>444</v>
      </c>
      <c r="L38">
        <f>SUM(Table2[[#This Row],[2021 Reach]:[2023 Reach]])*5</f>
        <v>2220</v>
      </c>
      <c r="M38">
        <f>Table2[[#This Row],[2023 Reach]]*5</f>
        <v>2220</v>
      </c>
      <c r="N38" s="79">
        <f>IFERROR(Table2[[#This Row],[2023 Reach People]]/Table2[[#This Row],[2023 Affected People]],0)</f>
        <v>2.7536591416521955E-2</v>
      </c>
      <c r="O38">
        <f t="shared" si="0"/>
        <v>1</v>
      </c>
      <c r="P38">
        <f t="shared" si="6"/>
        <v>1</v>
      </c>
      <c r="Q38">
        <f t="shared" si="7"/>
        <v>1</v>
      </c>
      <c r="R38">
        <f t="shared" si="3"/>
        <v>0</v>
      </c>
      <c r="S38">
        <f t="shared" si="5"/>
        <v>1</v>
      </c>
      <c r="T38">
        <f>IF(Table2[[#This Row],[Access 2023]]="Hard to reach", 4, IF(Table2[[#This Row],[Access 2023]]="Partially Accessible", 3, 2))</f>
        <v>2</v>
      </c>
      <c r="U38">
        <v>2</v>
      </c>
      <c r="W38">
        <f>SUM(Table2[[#This Row],[PIN Score]],Table2[[#This Row],[Response 2023 Score]],Table2[[#This Row],[Neglected Locality Percentage Response]],Table2[[#This Row],[Security and Access]])</f>
        <v>4</v>
      </c>
      <c r="X38">
        <f t="shared" si="8"/>
        <v>1</v>
      </c>
    </row>
    <row r="39" spans="1:24" ht="41.4" x14ac:dyDescent="0.55000000000000004">
      <c r="A39" s="80" t="s">
        <v>446</v>
      </c>
      <c r="B39" s="81" t="s">
        <v>504</v>
      </c>
      <c r="C39" s="81" t="s">
        <v>288</v>
      </c>
      <c r="D39" s="76" t="s">
        <v>98</v>
      </c>
      <c r="E39" s="77">
        <v>105604</v>
      </c>
      <c r="F39" s="78">
        <v>0</v>
      </c>
      <c r="G39" s="78"/>
      <c r="H39" s="78" t="s">
        <v>521</v>
      </c>
      <c r="I39" s="78">
        <v>0</v>
      </c>
      <c r="J39" s="78">
        <v>0</v>
      </c>
      <c r="K39">
        <v>189</v>
      </c>
      <c r="L39">
        <f>SUM(Table2[[#This Row],[2021 Reach]:[2023 Reach]])*5</f>
        <v>945</v>
      </c>
      <c r="M39">
        <f>Table2[[#This Row],[2023 Reach]]*5</f>
        <v>945</v>
      </c>
      <c r="N39" s="79">
        <f>IFERROR(Table2[[#This Row],[2023 Reach People]]/Table2[[#This Row],[2023 Affected People]],0)</f>
        <v>8.9485246770955647E-3</v>
      </c>
      <c r="O39">
        <f t="shared" si="0"/>
        <v>0</v>
      </c>
      <c r="P39">
        <f t="shared" si="6"/>
        <v>1</v>
      </c>
      <c r="Q39">
        <f t="shared" si="7"/>
        <v>1</v>
      </c>
      <c r="R39">
        <f t="shared" si="3"/>
        <v>0</v>
      </c>
      <c r="S39">
        <f t="shared" si="5"/>
        <v>1</v>
      </c>
      <c r="T39">
        <f>IF(Table2[[#This Row],[Access 2023]]="Hard to reach", 4, IF(Table2[[#This Row],[Access 2023]]="Partially Accessible", 3, 2))</f>
        <v>2</v>
      </c>
      <c r="U39">
        <v>2</v>
      </c>
      <c r="W39">
        <f>SUM(Table2[[#This Row],[PIN Score]],Table2[[#This Row],[Response 2023 Score]],Table2[[#This Row],[Neglected Locality Percentage Response]],Table2[[#This Row],[Security and Access]])</f>
        <v>3</v>
      </c>
      <c r="X39">
        <f t="shared" si="8"/>
        <v>1</v>
      </c>
    </row>
    <row r="40" spans="1:24" x14ac:dyDescent="0.55000000000000004">
      <c r="A40" s="82" t="s">
        <v>446</v>
      </c>
      <c r="B40" s="81" t="s">
        <v>504</v>
      </c>
      <c r="C40" s="81" t="s">
        <v>289</v>
      </c>
      <c r="D40" s="76" t="s">
        <v>99</v>
      </c>
      <c r="E40" s="77">
        <v>23758</v>
      </c>
      <c r="F40" s="78">
        <v>22605</v>
      </c>
      <c r="G40" s="78"/>
      <c r="H40" s="78" t="s">
        <v>521</v>
      </c>
      <c r="I40" s="78">
        <v>3712</v>
      </c>
      <c r="J40" s="78">
        <v>8414</v>
      </c>
      <c r="K40">
        <v>3494</v>
      </c>
      <c r="L40">
        <f>SUM(Table2[[#This Row],[2021 Reach]:[2023 Reach]])*5</f>
        <v>78100</v>
      </c>
      <c r="M40">
        <f>Table2[[#This Row],[2023 Reach]]*5</f>
        <v>17470</v>
      </c>
      <c r="N40" s="79">
        <f>IFERROR(Table2[[#This Row],[2023 Reach People]]/Table2[[#This Row],[2023 Affected People]],0)</f>
        <v>0.73533125683980138</v>
      </c>
      <c r="O40">
        <f t="shared" si="0"/>
        <v>1</v>
      </c>
      <c r="P40">
        <f t="shared" si="6"/>
        <v>0</v>
      </c>
      <c r="Q40">
        <f t="shared" si="7"/>
        <v>0</v>
      </c>
      <c r="R40">
        <f t="shared" si="3"/>
        <v>0</v>
      </c>
      <c r="S40">
        <f t="shared" si="5"/>
        <v>0</v>
      </c>
      <c r="T40">
        <f>IF(Table2[[#This Row],[Access 2023]]="Hard to reach", 4, IF(Table2[[#This Row],[Access 2023]]="Partially Accessible", 3, 2))</f>
        <v>2</v>
      </c>
      <c r="U40">
        <v>2</v>
      </c>
      <c r="W40">
        <f>SUM(Table2[[#This Row],[PIN Score]],Table2[[#This Row],[Response 2023 Score]],Table2[[#This Row],[Neglected Locality Percentage Response]],Table2[[#This Row],[Security and Access]])</f>
        <v>3</v>
      </c>
      <c r="X40">
        <f t="shared" si="8"/>
        <v>1</v>
      </c>
    </row>
    <row r="41" spans="1:24" x14ac:dyDescent="0.55000000000000004">
      <c r="A41" s="82" t="s">
        <v>446</v>
      </c>
      <c r="B41" s="81" t="s">
        <v>504</v>
      </c>
      <c r="C41" s="81" t="s">
        <v>290</v>
      </c>
      <c r="D41" s="76" t="s">
        <v>100</v>
      </c>
      <c r="E41" s="77">
        <v>16958</v>
      </c>
      <c r="F41" s="78">
        <v>3749</v>
      </c>
      <c r="G41" s="78"/>
      <c r="H41" s="78" t="s">
        <v>521</v>
      </c>
      <c r="I41" s="78">
        <v>0</v>
      </c>
      <c r="J41" s="78">
        <v>0</v>
      </c>
      <c r="K41">
        <v>0</v>
      </c>
      <c r="L41">
        <f>SUM(Table2[[#This Row],[2021 Reach]:[2023 Reach]])*5</f>
        <v>0</v>
      </c>
      <c r="M41">
        <f>Table2[[#This Row],[2023 Reach]]*5</f>
        <v>0</v>
      </c>
      <c r="N41" s="79">
        <f>IFERROR(Table2[[#This Row],[2023 Reach People]]/Table2[[#This Row],[2023 Affected People]],0)</f>
        <v>0</v>
      </c>
      <c r="O41">
        <f t="shared" si="0"/>
        <v>1</v>
      </c>
      <c r="P41">
        <f t="shared" si="6"/>
        <v>1</v>
      </c>
      <c r="Q41">
        <f t="shared" si="7"/>
        <v>1</v>
      </c>
      <c r="R41">
        <f t="shared" si="3"/>
        <v>1</v>
      </c>
      <c r="S41">
        <f t="shared" si="5"/>
        <v>2</v>
      </c>
      <c r="T41">
        <f>IF(Table2[[#This Row],[Access 2023]]="Hard to reach", 4, IF(Table2[[#This Row],[Access 2023]]="Partially Accessible", 3, 2))</f>
        <v>2</v>
      </c>
      <c r="U41">
        <v>2</v>
      </c>
      <c r="W41">
        <f>SUM(Table2[[#This Row],[PIN Score]],Table2[[#This Row],[Response 2023 Score]],Table2[[#This Row],[Neglected Locality Percentage Response]],Table2[[#This Row],[Security and Access]])</f>
        <v>6</v>
      </c>
      <c r="X41">
        <f t="shared" si="8"/>
        <v>3</v>
      </c>
    </row>
    <row r="42" spans="1:24" x14ac:dyDescent="0.55000000000000004">
      <c r="A42" s="82" t="s">
        <v>446</v>
      </c>
      <c r="B42" s="81" t="s">
        <v>504</v>
      </c>
      <c r="C42" s="81" t="s">
        <v>505</v>
      </c>
      <c r="D42" s="76" t="s">
        <v>101</v>
      </c>
      <c r="E42" s="77">
        <v>149756</v>
      </c>
      <c r="F42" s="78">
        <v>32232</v>
      </c>
      <c r="G42" s="78"/>
      <c r="H42" s="78" t="s">
        <v>521</v>
      </c>
      <c r="I42" s="78">
        <v>350</v>
      </c>
      <c r="J42" s="78">
        <v>2426</v>
      </c>
      <c r="K42">
        <v>0</v>
      </c>
      <c r="L42">
        <f>SUM(Table2[[#This Row],[2021 Reach]:[2023 Reach]])*5</f>
        <v>13880</v>
      </c>
      <c r="M42">
        <f>Table2[[#This Row],[2023 Reach]]*5</f>
        <v>0</v>
      </c>
      <c r="N42" s="79">
        <f>IFERROR(Table2[[#This Row],[2023 Reach People]]/Table2[[#This Row],[2023 Affected People]],0)</f>
        <v>0</v>
      </c>
      <c r="O42">
        <f t="shared" si="0"/>
        <v>1</v>
      </c>
      <c r="P42">
        <f t="shared" si="6"/>
        <v>0</v>
      </c>
      <c r="Q42">
        <f t="shared" si="7"/>
        <v>0</v>
      </c>
      <c r="R42">
        <f t="shared" si="3"/>
        <v>1</v>
      </c>
      <c r="S42">
        <f t="shared" si="5"/>
        <v>2</v>
      </c>
      <c r="T42">
        <f>IF(Table2[[#This Row],[Access 2023]]="Hard to reach", 4, IF(Table2[[#This Row],[Access 2023]]="Partially Accessible", 3, 2))</f>
        <v>2</v>
      </c>
      <c r="U42">
        <v>3</v>
      </c>
      <c r="W42">
        <f>SUM(Table2[[#This Row],[PIN Score]],Table2[[#This Row],[Response 2023 Score]],Table2[[#This Row],[Neglected Locality Percentage Response]],Table2[[#This Row],[Security and Access]])</f>
        <v>6</v>
      </c>
      <c r="X42">
        <f t="shared" si="8"/>
        <v>3</v>
      </c>
    </row>
    <row r="43" spans="1:24" x14ac:dyDescent="0.55000000000000004">
      <c r="A43" s="82" t="s">
        <v>446</v>
      </c>
      <c r="B43" s="81" t="s">
        <v>504</v>
      </c>
      <c r="C43" s="81" t="s">
        <v>292</v>
      </c>
      <c r="D43" s="76" t="s">
        <v>102</v>
      </c>
      <c r="E43" s="77">
        <v>68026</v>
      </c>
      <c r="F43" s="78">
        <v>19940</v>
      </c>
      <c r="G43" s="78"/>
      <c r="H43" s="78" t="s">
        <v>521</v>
      </c>
      <c r="I43" s="78">
        <v>5100</v>
      </c>
      <c r="J43" s="78">
        <v>3242</v>
      </c>
      <c r="K43">
        <v>1969</v>
      </c>
      <c r="L43">
        <f>SUM(Table2[[#This Row],[2021 Reach]:[2023 Reach]])*5</f>
        <v>51555</v>
      </c>
      <c r="M43">
        <f>Table2[[#This Row],[2023 Reach]]*5</f>
        <v>9845</v>
      </c>
      <c r="N43" s="79">
        <f>IFERROR(Table2[[#This Row],[2023 Reach People]]/Table2[[#This Row],[2023 Affected People]],0)</f>
        <v>0.14472407608855437</v>
      </c>
      <c r="O43">
        <f t="shared" si="0"/>
        <v>1</v>
      </c>
      <c r="P43">
        <f t="shared" si="6"/>
        <v>0</v>
      </c>
      <c r="Q43">
        <f t="shared" si="7"/>
        <v>0</v>
      </c>
      <c r="R43">
        <f t="shared" si="3"/>
        <v>0</v>
      </c>
      <c r="S43">
        <f t="shared" si="5"/>
        <v>1</v>
      </c>
      <c r="T43">
        <f>IF(Table2[[#This Row],[Access 2023]]="Hard to reach", 4, IF(Table2[[#This Row],[Access 2023]]="Partially Accessible", 3, 2))</f>
        <v>2</v>
      </c>
      <c r="U43">
        <v>2</v>
      </c>
      <c r="W43">
        <f>SUM(Table2[[#This Row],[PIN Score]],Table2[[#This Row],[Response 2023 Score]],Table2[[#This Row],[Neglected Locality Percentage Response]],Table2[[#This Row],[Security and Access]])</f>
        <v>4</v>
      </c>
      <c r="X43">
        <f t="shared" si="8"/>
        <v>1</v>
      </c>
    </row>
    <row r="44" spans="1:24" ht="27.6" x14ac:dyDescent="0.55000000000000004">
      <c r="A44" s="82" t="s">
        <v>446</v>
      </c>
      <c r="B44" s="81" t="s">
        <v>504</v>
      </c>
      <c r="C44" s="81" t="s">
        <v>293</v>
      </c>
      <c r="D44" s="76" t="s">
        <v>103</v>
      </c>
      <c r="E44" s="77">
        <v>52390</v>
      </c>
      <c r="F44" s="78">
        <v>2440</v>
      </c>
      <c r="G44" s="78"/>
      <c r="H44" s="78" t="s">
        <v>521</v>
      </c>
      <c r="I44" s="78">
        <v>0</v>
      </c>
      <c r="J44" s="78">
        <v>780</v>
      </c>
      <c r="K44">
        <v>0</v>
      </c>
      <c r="L44">
        <f>SUM(Table2[[#This Row],[2021 Reach]:[2023 Reach]])*5</f>
        <v>3900</v>
      </c>
      <c r="M44">
        <f>Table2[[#This Row],[2023 Reach]]*5</f>
        <v>0</v>
      </c>
      <c r="N44" s="79">
        <f>IFERROR(Table2[[#This Row],[2023 Reach People]]/Table2[[#This Row],[2023 Affected People]],0)</f>
        <v>0</v>
      </c>
      <c r="O44">
        <f t="shared" si="0"/>
        <v>1</v>
      </c>
      <c r="P44">
        <f t="shared" si="6"/>
        <v>1</v>
      </c>
      <c r="Q44">
        <f t="shared" si="7"/>
        <v>0</v>
      </c>
      <c r="R44">
        <f t="shared" si="3"/>
        <v>1</v>
      </c>
      <c r="S44">
        <f t="shared" si="5"/>
        <v>2</v>
      </c>
      <c r="T44">
        <f>IF(Table2[[#This Row],[Access 2023]]="Hard to reach", 4, IF(Table2[[#This Row],[Access 2023]]="Partially Accessible", 3, 2))</f>
        <v>2</v>
      </c>
      <c r="U44">
        <v>2</v>
      </c>
      <c r="W44">
        <f>SUM(Table2[[#This Row],[PIN Score]],Table2[[#This Row],[Response 2023 Score]],Table2[[#This Row],[Neglected Locality Percentage Response]],Table2[[#This Row],[Security and Access]])</f>
        <v>6</v>
      </c>
      <c r="X44">
        <f t="shared" si="8"/>
        <v>3</v>
      </c>
    </row>
    <row r="45" spans="1:24" ht="27.6" x14ac:dyDescent="0.55000000000000004">
      <c r="A45" s="82" t="s">
        <v>446</v>
      </c>
      <c r="B45" s="81" t="s">
        <v>504</v>
      </c>
      <c r="C45" s="81" t="s">
        <v>294</v>
      </c>
      <c r="D45" s="76" t="s">
        <v>104</v>
      </c>
      <c r="E45" s="77">
        <v>56200</v>
      </c>
      <c r="F45" s="78">
        <v>36304</v>
      </c>
      <c r="G45" s="78"/>
      <c r="H45" s="78" t="s">
        <v>521</v>
      </c>
      <c r="I45" s="78">
        <v>15176</v>
      </c>
      <c r="J45" s="78">
        <v>5551</v>
      </c>
      <c r="K45">
        <v>9353</v>
      </c>
      <c r="L45">
        <f>SUM(Table2[[#This Row],[2021 Reach]:[2023 Reach]])*5</f>
        <v>150400</v>
      </c>
      <c r="M45">
        <f>Table2[[#This Row],[2023 Reach]]*5</f>
        <v>46765</v>
      </c>
      <c r="N45" s="79">
        <f>IFERROR(Table2[[#This Row],[2023 Reach People]]/Table2[[#This Row],[2023 Affected People]],0)</f>
        <v>0.83211743772241997</v>
      </c>
      <c r="O45">
        <f t="shared" si="0"/>
        <v>1</v>
      </c>
      <c r="P45">
        <f t="shared" si="6"/>
        <v>0</v>
      </c>
      <c r="Q45">
        <f t="shared" si="7"/>
        <v>0</v>
      </c>
      <c r="R45">
        <f t="shared" si="3"/>
        <v>0</v>
      </c>
      <c r="S45">
        <f t="shared" si="5"/>
        <v>0</v>
      </c>
      <c r="T45">
        <f>IF(Table2[[#This Row],[Access 2023]]="Hard to reach", 4, IF(Table2[[#This Row],[Access 2023]]="Partially Accessible", 3, 2))</f>
        <v>2</v>
      </c>
      <c r="U45">
        <v>3</v>
      </c>
      <c r="W45">
        <f>SUM(Table2[[#This Row],[PIN Score]],Table2[[#This Row],[Response 2023 Score]],Table2[[#This Row],[Neglected Locality Percentage Response]],Table2[[#This Row],[Security and Access]])</f>
        <v>3</v>
      </c>
      <c r="X45">
        <f t="shared" si="8"/>
        <v>1</v>
      </c>
    </row>
    <row r="46" spans="1:24" ht="27.6" x14ac:dyDescent="0.55000000000000004">
      <c r="A46" s="82" t="s">
        <v>446</v>
      </c>
      <c r="B46" s="81" t="s">
        <v>504</v>
      </c>
      <c r="C46" s="81" t="s">
        <v>295</v>
      </c>
      <c r="D46" s="76" t="s">
        <v>105</v>
      </c>
      <c r="E46" s="77">
        <v>99472</v>
      </c>
      <c r="F46" s="78">
        <v>75038</v>
      </c>
      <c r="G46" s="78"/>
      <c r="H46" s="78" t="s">
        <v>521</v>
      </c>
      <c r="I46" s="78">
        <v>0</v>
      </c>
      <c r="J46" s="78">
        <v>0</v>
      </c>
      <c r="K46">
        <v>2363</v>
      </c>
      <c r="L46">
        <f>SUM(Table2[[#This Row],[2021 Reach]:[2023 Reach]])*5</f>
        <v>11815</v>
      </c>
      <c r="M46">
        <f>Table2[[#This Row],[2023 Reach]]*5</f>
        <v>11815</v>
      </c>
      <c r="N46" s="79">
        <f>IFERROR(Table2[[#This Row],[2023 Reach People]]/Table2[[#This Row],[2023 Affected People]],0)</f>
        <v>0.11877714331671224</v>
      </c>
      <c r="O46">
        <f t="shared" si="0"/>
        <v>1</v>
      </c>
      <c r="P46">
        <f t="shared" si="6"/>
        <v>1</v>
      </c>
      <c r="Q46">
        <f t="shared" si="7"/>
        <v>1</v>
      </c>
      <c r="R46">
        <f t="shared" si="3"/>
        <v>0</v>
      </c>
      <c r="S46">
        <f t="shared" si="5"/>
        <v>1</v>
      </c>
      <c r="T46">
        <f>IF(Table2[[#This Row],[Access 2023]]="Hard to reach", 4, IF(Table2[[#This Row],[Access 2023]]="Partially Accessible", 3, 2))</f>
        <v>2</v>
      </c>
      <c r="U46">
        <v>4</v>
      </c>
      <c r="W46">
        <f>SUM(Table2[[#This Row],[PIN Score]],Table2[[#This Row],[Response 2023 Score]],Table2[[#This Row],[Neglected Locality Percentage Response]],Table2[[#This Row],[Security and Access]])</f>
        <v>4</v>
      </c>
      <c r="X46">
        <f t="shared" si="8"/>
        <v>1</v>
      </c>
    </row>
    <row r="47" spans="1:24" ht="27.6" x14ac:dyDescent="0.55000000000000004">
      <c r="A47" s="82" t="s">
        <v>446</v>
      </c>
      <c r="B47" s="81" t="s">
        <v>504</v>
      </c>
      <c r="C47" s="81" t="s">
        <v>296</v>
      </c>
      <c r="D47" s="76" t="s">
        <v>106</v>
      </c>
      <c r="E47" s="77">
        <v>219806</v>
      </c>
      <c r="F47" s="78">
        <v>11429</v>
      </c>
      <c r="G47" s="78"/>
      <c r="H47" s="78" t="s">
        <v>521</v>
      </c>
      <c r="I47" s="78">
        <v>0</v>
      </c>
      <c r="J47" s="78">
        <v>0</v>
      </c>
      <c r="K47">
        <v>0</v>
      </c>
      <c r="L47">
        <f>SUM(Table2[[#This Row],[2021 Reach]:[2023 Reach]])*5</f>
        <v>0</v>
      </c>
      <c r="M47">
        <f>Table2[[#This Row],[2023 Reach]]*5</f>
        <v>0</v>
      </c>
      <c r="N47" s="79">
        <f>IFERROR(Table2[[#This Row],[2023 Reach People]]/Table2[[#This Row],[2023 Affected People]],0)</f>
        <v>0</v>
      </c>
      <c r="O47">
        <f t="shared" si="0"/>
        <v>1</v>
      </c>
      <c r="P47">
        <f t="shared" si="6"/>
        <v>1</v>
      </c>
      <c r="Q47">
        <f t="shared" si="7"/>
        <v>1</v>
      </c>
      <c r="R47">
        <f t="shared" si="3"/>
        <v>1</v>
      </c>
      <c r="S47">
        <f t="shared" si="5"/>
        <v>2</v>
      </c>
      <c r="T47">
        <f>IF(Table2[[#This Row],[Access 2023]]="Hard to reach", 4, IF(Table2[[#This Row],[Access 2023]]="Partially Accessible", 3, 2))</f>
        <v>2</v>
      </c>
      <c r="U47">
        <v>2</v>
      </c>
      <c r="W47">
        <f>SUM(Table2[[#This Row],[PIN Score]],Table2[[#This Row],[Response 2023 Score]],Table2[[#This Row],[Neglected Locality Percentage Response]],Table2[[#This Row],[Security and Access]])</f>
        <v>6</v>
      </c>
      <c r="X47">
        <f t="shared" si="8"/>
        <v>3</v>
      </c>
    </row>
    <row r="48" spans="1:24" ht="27.6" x14ac:dyDescent="0.55000000000000004">
      <c r="A48" s="82" t="s">
        <v>447</v>
      </c>
      <c r="B48" s="81" t="s">
        <v>506</v>
      </c>
      <c r="C48" s="81" t="s">
        <v>297</v>
      </c>
      <c r="D48" s="76" t="s">
        <v>107</v>
      </c>
      <c r="E48" s="77">
        <v>203810</v>
      </c>
      <c r="F48" s="78">
        <v>44957</v>
      </c>
      <c r="G48" s="78"/>
      <c r="H48" s="78" t="s">
        <v>521</v>
      </c>
      <c r="I48" s="78">
        <v>0</v>
      </c>
      <c r="J48" s="78">
        <v>0</v>
      </c>
      <c r="K48">
        <v>0</v>
      </c>
      <c r="L48">
        <f>SUM(Table2[[#This Row],[2021 Reach]:[2023 Reach]])*5</f>
        <v>0</v>
      </c>
      <c r="M48">
        <f>Table2[[#This Row],[2023 Reach]]*5</f>
        <v>0</v>
      </c>
      <c r="N48" s="79">
        <f>IFERROR(Table2[[#This Row],[2023 Reach People]]/Table2[[#This Row],[2023 Affected People]],0)</f>
        <v>0</v>
      </c>
      <c r="O48">
        <f t="shared" si="0"/>
        <v>1</v>
      </c>
      <c r="P48">
        <f t="shared" si="6"/>
        <v>1</v>
      </c>
      <c r="Q48">
        <f t="shared" si="7"/>
        <v>1</v>
      </c>
      <c r="R48">
        <f t="shared" si="3"/>
        <v>1</v>
      </c>
      <c r="S48">
        <f t="shared" si="5"/>
        <v>2</v>
      </c>
      <c r="T48">
        <f>IF(Table2[[#This Row],[Access 2023]]="Hard to reach", 4, IF(Table2[[#This Row],[Access 2023]]="Partially Accessible", 3, 2))</f>
        <v>2</v>
      </c>
      <c r="U48">
        <v>3</v>
      </c>
      <c r="W48">
        <f>SUM(Table2[[#This Row],[PIN Score]],Table2[[#This Row],[Response 2023 Score]],Table2[[#This Row],[Neglected Locality Percentage Response]],Table2[[#This Row],[Security and Access]])</f>
        <v>6</v>
      </c>
      <c r="X48">
        <f t="shared" si="8"/>
        <v>3</v>
      </c>
    </row>
    <row r="49" spans="1:24" ht="27.6" x14ac:dyDescent="0.55000000000000004">
      <c r="A49" s="82" t="s">
        <v>447</v>
      </c>
      <c r="B49" s="81" t="s">
        <v>506</v>
      </c>
      <c r="C49" s="81" t="s">
        <v>298</v>
      </c>
      <c r="D49" s="76" t="s">
        <v>108</v>
      </c>
      <c r="E49" s="77">
        <v>139869</v>
      </c>
      <c r="F49" s="78">
        <v>63442</v>
      </c>
      <c r="G49" s="78"/>
      <c r="H49" s="78" t="s">
        <v>521</v>
      </c>
      <c r="I49" s="78">
        <v>0</v>
      </c>
      <c r="J49" s="78">
        <v>0</v>
      </c>
      <c r="K49">
        <v>240</v>
      </c>
      <c r="L49">
        <f>SUM(Table2[[#This Row],[2021 Reach]:[2023 Reach]])*5</f>
        <v>1200</v>
      </c>
      <c r="M49">
        <f>Table2[[#This Row],[2023 Reach]]*5</f>
        <v>1200</v>
      </c>
      <c r="N49" s="79">
        <f>IFERROR(Table2[[#This Row],[2023 Reach People]]/Table2[[#This Row],[2023 Affected People]],0)</f>
        <v>8.5794564914312681E-3</v>
      </c>
      <c r="O49">
        <f t="shared" si="0"/>
        <v>1</v>
      </c>
      <c r="P49">
        <f t="shared" si="6"/>
        <v>1</v>
      </c>
      <c r="Q49">
        <f t="shared" si="7"/>
        <v>1</v>
      </c>
      <c r="R49">
        <f t="shared" si="3"/>
        <v>0</v>
      </c>
      <c r="S49">
        <f t="shared" si="5"/>
        <v>1</v>
      </c>
      <c r="T49">
        <f>IF(Table2[[#This Row],[Access 2023]]="Hard to reach", 4, IF(Table2[[#This Row],[Access 2023]]="Partially Accessible", 3, 2))</f>
        <v>2</v>
      </c>
      <c r="U49">
        <v>3</v>
      </c>
      <c r="W49">
        <f>SUM(Table2[[#This Row],[PIN Score]],Table2[[#This Row],[Response 2023 Score]],Table2[[#This Row],[Neglected Locality Percentage Response]],Table2[[#This Row],[Security and Access]])</f>
        <v>4</v>
      </c>
      <c r="X49">
        <f t="shared" si="8"/>
        <v>1</v>
      </c>
    </row>
    <row r="50" spans="1:24" x14ac:dyDescent="0.55000000000000004">
      <c r="A50" s="82" t="s">
        <v>447</v>
      </c>
      <c r="B50" s="81" t="s">
        <v>506</v>
      </c>
      <c r="C50" s="81" t="s">
        <v>299</v>
      </c>
      <c r="D50" s="76" t="s">
        <v>109</v>
      </c>
      <c r="E50" s="77">
        <v>138666</v>
      </c>
      <c r="F50" s="78">
        <v>0</v>
      </c>
      <c r="G50" s="78"/>
      <c r="H50" s="78" t="s">
        <v>521</v>
      </c>
      <c r="I50" s="78">
        <v>0</v>
      </c>
      <c r="J50" s="78">
        <v>85</v>
      </c>
      <c r="K50">
        <v>1240</v>
      </c>
      <c r="L50">
        <f>SUM(Table2[[#This Row],[2021 Reach]:[2023 Reach]])*5</f>
        <v>6625</v>
      </c>
      <c r="M50">
        <f>Table2[[#This Row],[2023 Reach]]*5</f>
        <v>6200</v>
      </c>
      <c r="N50" s="79">
        <f>IFERROR(Table2[[#This Row],[2023 Reach People]]/Table2[[#This Row],[2023 Affected People]],0)</f>
        <v>4.4711753421891452E-2</v>
      </c>
      <c r="O50">
        <f t="shared" si="0"/>
        <v>0</v>
      </c>
      <c r="P50">
        <f t="shared" si="6"/>
        <v>1</v>
      </c>
      <c r="Q50">
        <f t="shared" si="7"/>
        <v>0</v>
      </c>
      <c r="R50">
        <f t="shared" si="3"/>
        <v>0</v>
      </c>
      <c r="S50">
        <f t="shared" si="5"/>
        <v>1</v>
      </c>
      <c r="T50">
        <f>IF(Table2[[#This Row],[Access 2023]]="Hard to reach", 4, IF(Table2[[#This Row],[Access 2023]]="Partially Accessible", 3, 2))</f>
        <v>2</v>
      </c>
      <c r="U50">
        <v>2</v>
      </c>
      <c r="W50">
        <f>SUM(Table2[[#This Row],[PIN Score]],Table2[[#This Row],[Response 2023 Score]],Table2[[#This Row],[Neglected Locality Percentage Response]],Table2[[#This Row],[Security and Access]])</f>
        <v>3</v>
      </c>
      <c r="X50">
        <f t="shared" si="8"/>
        <v>1</v>
      </c>
    </row>
    <row r="51" spans="1:24" ht="27.6" x14ac:dyDescent="0.55000000000000004">
      <c r="A51" s="82" t="s">
        <v>447</v>
      </c>
      <c r="B51" s="81" t="s">
        <v>506</v>
      </c>
      <c r="C51" s="81" t="s">
        <v>300</v>
      </c>
      <c r="D51" s="76" t="s">
        <v>110</v>
      </c>
      <c r="E51" s="77">
        <v>171290</v>
      </c>
      <c r="F51" s="78">
        <v>22199</v>
      </c>
      <c r="G51" s="78"/>
      <c r="H51" s="78" t="s">
        <v>521</v>
      </c>
      <c r="I51" s="78">
        <v>0</v>
      </c>
      <c r="J51" s="78">
        <v>0</v>
      </c>
      <c r="K51">
        <v>0</v>
      </c>
      <c r="L51">
        <f>SUM(Table2[[#This Row],[2021 Reach]:[2023 Reach]])*5</f>
        <v>0</v>
      </c>
      <c r="M51">
        <f>Table2[[#This Row],[2023 Reach]]*5</f>
        <v>0</v>
      </c>
      <c r="N51" s="79">
        <f>IFERROR(Table2[[#This Row],[2023 Reach People]]/Table2[[#This Row],[2023 Affected People]],0)</f>
        <v>0</v>
      </c>
      <c r="O51">
        <f t="shared" si="0"/>
        <v>1</v>
      </c>
      <c r="P51">
        <f t="shared" si="6"/>
        <v>1</v>
      </c>
      <c r="Q51">
        <f t="shared" si="7"/>
        <v>1</v>
      </c>
      <c r="R51">
        <f t="shared" si="3"/>
        <v>1</v>
      </c>
      <c r="S51">
        <f t="shared" si="5"/>
        <v>2</v>
      </c>
      <c r="T51">
        <f>IF(Table2[[#This Row],[Access 2023]]="Hard to reach", 4, IF(Table2[[#This Row],[Access 2023]]="Partially Accessible", 3, 2))</f>
        <v>2</v>
      </c>
      <c r="U51">
        <v>1</v>
      </c>
      <c r="W51">
        <f>SUM(Table2[[#This Row],[PIN Score]],Table2[[#This Row],[Response 2023 Score]],Table2[[#This Row],[Neglected Locality Percentage Response]],Table2[[#This Row],[Security and Access]])</f>
        <v>6</v>
      </c>
      <c r="X51">
        <f t="shared" si="8"/>
        <v>3</v>
      </c>
    </row>
    <row r="52" spans="1:24" ht="27.6" x14ac:dyDescent="0.55000000000000004">
      <c r="A52" s="82" t="s">
        <v>447</v>
      </c>
      <c r="B52" s="81" t="s">
        <v>506</v>
      </c>
      <c r="C52" s="81" t="s">
        <v>301</v>
      </c>
      <c r="D52" s="76" t="s">
        <v>111</v>
      </c>
      <c r="E52" s="77">
        <v>47524</v>
      </c>
      <c r="F52" s="78">
        <v>66497</v>
      </c>
      <c r="G52" s="78"/>
      <c r="H52" s="78" t="s">
        <v>521</v>
      </c>
      <c r="I52" s="78">
        <v>0</v>
      </c>
      <c r="J52" s="78">
        <v>0</v>
      </c>
      <c r="K52">
        <v>0</v>
      </c>
      <c r="L52">
        <f>SUM(Table2[[#This Row],[2021 Reach]:[2023 Reach]])*5</f>
        <v>0</v>
      </c>
      <c r="M52">
        <f>Table2[[#This Row],[2023 Reach]]*5</f>
        <v>0</v>
      </c>
      <c r="N52" s="79">
        <f>IFERROR(Table2[[#This Row],[2023 Reach People]]/Table2[[#This Row],[2023 Affected People]],0)</f>
        <v>0</v>
      </c>
      <c r="O52">
        <f t="shared" si="0"/>
        <v>1</v>
      </c>
      <c r="P52">
        <f t="shared" si="6"/>
        <v>1</v>
      </c>
      <c r="Q52">
        <f t="shared" si="7"/>
        <v>1</v>
      </c>
      <c r="R52">
        <f t="shared" si="3"/>
        <v>1</v>
      </c>
      <c r="S52">
        <f t="shared" si="5"/>
        <v>2</v>
      </c>
      <c r="T52">
        <f>IF(Table2[[#This Row],[Access 2023]]="Hard to reach", 4, IF(Table2[[#This Row],[Access 2023]]="Partially Accessible", 3, 2))</f>
        <v>2</v>
      </c>
      <c r="U52">
        <v>1</v>
      </c>
      <c r="W52">
        <f>SUM(Table2[[#This Row],[PIN Score]],Table2[[#This Row],[Response 2023 Score]],Table2[[#This Row],[Neglected Locality Percentage Response]],Table2[[#This Row],[Security and Access]])</f>
        <v>6</v>
      </c>
      <c r="X52">
        <f t="shared" si="8"/>
        <v>3</v>
      </c>
    </row>
    <row r="53" spans="1:24" x14ac:dyDescent="0.55000000000000004">
      <c r="A53" s="82" t="s">
        <v>447</v>
      </c>
      <c r="B53" s="81" t="s">
        <v>506</v>
      </c>
      <c r="C53" s="81" t="s">
        <v>302</v>
      </c>
      <c r="D53" s="76" t="s">
        <v>112</v>
      </c>
      <c r="E53" s="77">
        <v>46768</v>
      </c>
      <c r="F53" s="78">
        <v>15748</v>
      </c>
      <c r="G53" s="78"/>
      <c r="H53" s="78" t="s">
        <v>521</v>
      </c>
      <c r="I53" s="78">
        <v>0</v>
      </c>
      <c r="J53" s="78">
        <v>250</v>
      </c>
      <c r="K53">
        <v>400</v>
      </c>
      <c r="L53">
        <f>SUM(Table2[[#This Row],[2021 Reach]:[2023 Reach]])*5</f>
        <v>3250</v>
      </c>
      <c r="M53">
        <f>Table2[[#This Row],[2023 Reach]]*5</f>
        <v>2000</v>
      </c>
      <c r="N53" s="79">
        <f>IFERROR(Table2[[#This Row],[2023 Reach People]]/Table2[[#This Row],[2023 Affected People]],0)</f>
        <v>4.2764283270612387E-2</v>
      </c>
      <c r="O53">
        <f t="shared" si="0"/>
        <v>1</v>
      </c>
      <c r="P53">
        <f t="shared" si="6"/>
        <v>1</v>
      </c>
      <c r="Q53">
        <f t="shared" si="7"/>
        <v>0</v>
      </c>
      <c r="R53">
        <f t="shared" si="3"/>
        <v>0</v>
      </c>
      <c r="S53">
        <f t="shared" si="5"/>
        <v>1</v>
      </c>
      <c r="T53">
        <f>IF(Table2[[#This Row],[Access 2023]]="Hard to reach", 4, IF(Table2[[#This Row],[Access 2023]]="Partially Accessible", 3, 2))</f>
        <v>2</v>
      </c>
      <c r="U53">
        <v>2</v>
      </c>
      <c r="W53">
        <f>SUM(Table2[[#This Row],[PIN Score]],Table2[[#This Row],[Response 2023 Score]],Table2[[#This Row],[Neglected Locality Percentage Response]],Table2[[#This Row],[Security and Access]])</f>
        <v>4</v>
      </c>
      <c r="X53">
        <f t="shared" si="8"/>
        <v>1</v>
      </c>
    </row>
    <row r="54" spans="1:24" ht="27.6" x14ac:dyDescent="0.55000000000000004">
      <c r="A54" s="82" t="s">
        <v>447</v>
      </c>
      <c r="B54" s="81" t="s">
        <v>506</v>
      </c>
      <c r="C54" s="81" t="s">
        <v>303</v>
      </c>
      <c r="D54" s="76" t="s">
        <v>113</v>
      </c>
      <c r="E54" s="77">
        <v>68647</v>
      </c>
      <c r="F54" s="78">
        <v>4311</v>
      </c>
      <c r="G54" s="78"/>
      <c r="H54" s="78" t="s">
        <v>521</v>
      </c>
      <c r="I54" s="78">
        <v>0</v>
      </c>
      <c r="J54" s="78">
        <v>0</v>
      </c>
      <c r="K54">
        <v>0</v>
      </c>
      <c r="L54">
        <f>SUM(Table2[[#This Row],[2021 Reach]:[2023 Reach]])*5</f>
        <v>0</v>
      </c>
      <c r="M54">
        <f>Table2[[#This Row],[2023 Reach]]*5</f>
        <v>0</v>
      </c>
      <c r="N54" s="79">
        <f>IFERROR(Table2[[#This Row],[2023 Reach People]]/Table2[[#This Row],[2023 Affected People]],0)</f>
        <v>0</v>
      </c>
      <c r="O54">
        <f t="shared" si="0"/>
        <v>1</v>
      </c>
      <c r="P54">
        <f t="shared" si="6"/>
        <v>1</v>
      </c>
      <c r="Q54">
        <f t="shared" si="7"/>
        <v>1</v>
      </c>
      <c r="R54">
        <f t="shared" si="3"/>
        <v>1</v>
      </c>
      <c r="S54">
        <f t="shared" si="5"/>
        <v>2</v>
      </c>
      <c r="T54">
        <f>IF(Table2[[#This Row],[Access 2023]]="Hard to reach", 4, IF(Table2[[#This Row],[Access 2023]]="Partially Accessible", 3, 2))</f>
        <v>2</v>
      </c>
      <c r="U54">
        <v>2</v>
      </c>
      <c r="W54">
        <f>SUM(Table2[[#This Row],[PIN Score]],Table2[[#This Row],[Response 2023 Score]],Table2[[#This Row],[Neglected Locality Percentage Response]],Table2[[#This Row],[Security and Access]])</f>
        <v>6</v>
      </c>
      <c r="X54">
        <f t="shared" si="8"/>
        <v>3</v>
      </c>
    </row>
    <row r="55" spans="1:24" ht="27.6" x14ac:dyDescent="0.55000000000000004">
      <c r="A55" s="82" t="s">
        <v>447</v>
      </c>
      <c r="B55" s="81" t="s">
        <v>506</v>
      </c>
      <c r="C55" s="81" t="s">
        <v>304</v>
      </c>
      <c r="D55" s="76" t="s">
        <v>114</v>
      </c>
      <c r="E55" s="77">
        <v>205964</v>
      </c>
      <c r="F55" s="78">
        <v>23405</v>
      </c>
      <c r="G55" s="78"/>
      <c r="H55" s="78" t="s">
        <v>521</v>
      </c>
      <c r="I55" s="78">
        <v>0</v>
      </c>
      <c r="J55" s="78">
        <v>0</v>
      </c>
      <c r="K55">
        <v>0</v>
      </c>
      <c r="L55">
        <f>SUM(Table2[[#This Row],[2021 Reach]:[2023 Reach]])*5</f>
        <v>0</v>
      </c>
      <c r="M55">
        <f>Table2[[#This Row],[2023 Reach]]*5</f>
        <v>0</v>
      </c>
      <c r="N55" s="79">
        <f>IFERROR(Table2[[#This Row],[2023 Reach People]]/Table2[[#This Row],[2023 Affected People]],0)</f>
        <v>0</v>
      </c>
      <c r="O55">
        <f t="shared" si="0"/>
        <v>1</v>
      </c>
      <c r="P55">
        <f t="shared" si="6"/>
        <v>1</v>
      </c>
      <c r="Q55">
        <f t="shared" si="7"/>
        <v>1</v>
      </c>
      <c r="R55">
        <f t="shared" si="3"/>
        <v>1</v>
      </c>
      <c r="S55">
        <f t="shared" si="5"/>
        <v>2</v>
      </c>
      <c r="T55">
        <f>IF(Table2[[#This Row],[Access 2023]]="Hard to reach", 4, IF(Table2[[#This Row],[Access 2023]]="Partially Accessible", 3, 2))</f>
        <v>2</v>
      </c>
      <c r="U55">
        <v>2</v>
      </c>
      <c r="W55">
        <f>SUM(Table2[[#This Row],[PIN Score]],Table2[[#This Row],[Response 2023 Score]],Table2[[#This Row],[Neglected Locality Percentage Response]],Table2[[#This Row],[Security and Access]])</f>
        <v>6</v>
      </c>
      <c r="X55">
        <f t="shared" si="8"/>
        <v>3</v>
      </c>
    </row>
    <row r="56" spans="1:24" ht="27.6" x14ac:dyDescent="0.55000000000000004">
      <c r="A56" s="82" t="s">
        <v>447</v>
      </c>
      <c r="B56" s="81" t="s">
        <v>506</v>
      </c>
      <c r="C56" s="81" t="s">
        <v>305</v>
      </c>
      <c r="D56" s="76" t="s">
        <v>115</v>
      </c>
      <c r="E56" s="77">
        <v>203926</v>
      </c>
      <c r="F56" s="78">
        <v>17524</v>
      </c>
      <c r="G56" s="78"/>
      <c r="H56" s="78" t="s">
        <v>521</v>
      </c>
      <c r="I56" s="78">
        <v>0</v>
      </c>
      <c r="J56" s="78">
        <v>65</v>
      </c>
      <c r="K56">
        <v>1000</v>
      </c>
      <c r="L56">
        <f>SUM(Table2[[#This Row],[2021 Reach]:[2023 Reach]])*5</f>
        <v>5325</v>
      </c>
      <c r="M56">
        <f>Table2[[#This Row],[2023 Reach]]*5</f>
        <v>5000</v>
      </c>
      <c r="N56" s="79">
        <f>IFERROR(Table2[[#This Row],[2023 Reach People]]/Table2[[#This Row],[2023 Affected People]],0)</f>
        <v>2.4518697959063581E-2</v>
      </c>
      <c r="O56">
        <f t="shared" si="0"/>
        <v>1</v>
      </c>
      <c r="P56">
        <f t="shared" si="6"/>
        <v>1</v>
      </c>
      <c r="Q56">
        <f t="shared" si="7"/>
        <v>0</v>
      </c>
      <c r="R56">
        <f t="shared" si="3"/>
        <v>0</v>
      </c>
      <c r="S56">
        <f t="shared" si="5"/>
        <v>1</v>
      </c>
      <c r="T56">
        <f>IF(Table2[[#This Row],[Access 2023]]="Hard to reach", 4, IF(Table2[[#This Row],[Access 2023]]="Partially Accessible", 3, 2))</f>
        <v>2</v>
      </c>
      <c r="U56">
        <v>2</v>
      </c>
      <c r="W56">
        <f>SUM(Table2[[#This Row],[PIN Score]],Table2[[#This Row],[Response 2023 Score]],Table2[[#This Row],[Neglected Locality Percentage Response]],Table2[[#This Row],[Security and Access]])</f>
        <v>4</v>
      </c>
      <c r="X56">
        <f t="shared" si="8"/>
        <v>1</v>
      </c>
    </row>
    <row r="57" spans="1:24" x14ac:dyDescent="0.55000000000000004">
      <c r="A57" s="82" t="s">
        <v>447</v>
      </c>
      <c r="B57" s="81" t="s">
        <v>506</v>
      </c>
      <c r="C57" s="81" t="s">
        <v>306</v>
      </c>
      <c r="D57" s="76" t="s">
        <v>116</v>
      </c>
      <c r="E57" s="77">
        <v>337152</v>
      </c>
      <c r="F57" s="78">
        <v>44152</v>
      </c>
      <c r="G57" s="78"/>
      <c r="H57" s="78" t="s">
        <v>521</v>
      </c>
      <c r="I57" s="78">
        <v>0</v>
      </c>
      <c r="J57" s="78">
        <v>0</v>
      </c>
      <c r="K57">
        <v>0</v>
      </c>
      <c r="L57">
        <f>SUM(Table2[[#This Row],[2021 Reach]:[2023 Reach]])*5</f>
        <v>0</v>
      </c>
      <c r="M57">
        <f>Table2[[#This Row],[2023 Reach]]*5</f>
        <v>0</v>
      </c>
      <c r="N57" s="79">
        <f>IFERROR(Table2[[#This Row],[2023 Reach People]]/Table2[[#This Row],[2023 Affected People]],0)</f>
        <v>0</v>
      </c>
      <c r="O57">
        <f t="shared" si="0"/>
        <v>1</v>
      </c>
      <c r="P57">
        <f t="shared" si="6"/>
        <v>1</v>
      </c>
      <c r="Q57">
        <f t="shared" si="7"/>
        <v>1</v>
      </c>
      <c r="R57">
        <f t="shared" si="3"/>
        <v>1</v>
      </c>
      <c r="S57">
        <f t="shared" si="5"/>
        <v>2</v>
      </c>
      <c r="T57">
        <f>IF(Table2[[#This Row],[Access 2023]]="Hard to reach", 4, IF(Table2[[#This Row],[Access 2023]]="Partially Accessible", 3, 2))</f>
        <v>2</v>
      </c>
      <c r="U57">
        <v>2</v>
      </c>
      <c r="W57">
        <f>SUM(Table2[[#This Row],[PIN Score]],Table2[[#This Row],[Response 2023 Score]],Table2[[#This Row],[Neglected Locality Percentage Response]],Table2[[#This Row],[Security and Access]])</f>
        <v>6</v>
      </c>
      <c r="X57">
        <f t="shared" si="8"/>
        <v>3</v>
      </c>
    </row>
    <row r="58" spans="1:24" ht="27.6" x14ac:dyDescent="0.55000000000000004">
      <c r="A58" s="82" t="s">
        <v>447</v>
      </c>
      <c r="B58" s="81" t="s">
        <v>506</v>
      </c>
      <c r="C58" s="81" t="s">
        <v>307</v>
      </c>
      <c r="D58" s="76" t="s">
        <v>117</v>
      </c>
      <c r="E58" s="77">
        <v>250389</v>
      </c>
      <c r="F58" s="78">
        <v>46471</v>
      </c>
      <c r="G58" s="78"/>
      <c r="H58" s="78" t="s">
        <v>521</v>
      </c>
      <c r="I58" s="78">
        <v>1570</v>
      </c>
      <c r="J58" s="78">
        <v>7207</v>
      </c>
      <c r="K58">
        <v>3553</v>
      </c>
      <c r="L58">
        <f>SUM(Table2[[#This Row],[2021 Reach]:[2023 Reach]])*5</f>
        <v>61650</v>
      </c>
      <c r="M58">
        <f>Table2[[#This Row],[2023 Reach]]*5</f>
        <v>17765</v>
      </c>
      <c r="N58" s="79">
        <f>IFERROR(Table2[[#This Row],[2023 Reach People]]/Table2[[#This Row],[2023 Affected People]],0)</f>
        <v>7.0949602418636598E-2</v>
      </c>
      <c r="O58">
        <f t="shared" si="0"/>
        <v>1</v>
      </c>
      <c r="P58">
        <f t="shared" si="6"/>
        <v>0</v>
      </c>
      <c r="Q58">
        <f t="shared" si="7"/>
        <v>0</v>
      </c>
      <c r="R58">
        <f t="shared" si="3"/>
        <v>0</v>
      </c>
      <c r="S58">
        <f t="shared" si="5"/>
        <v>1</v>
      </c>
      <c r="T58">
        <f>IF(Table2[[#This Row],[Access 2023]]="Hard to reach", 4, IF(Table2[[#This Row],[Access 2023]]="Partially Accessible", 3, 2))</f>
        <v>2</v>
      </c>
      <c r="U58">
        <v>1</v>
      </c>
      <c r="W58">
        <f>SUM(Table2[[#This Row],[PIN Score]],Table2[[#This Row],[Response 2023 Score]],Table2[[#This Row],[Neglected Locality Percentage Response]],Table2[[#This Row],[Security and Access]])</f>
        <v>4</v>
      </c>
      <c r="X58">
        <f t="shared" si="8"/>
        <v>1</v>
      </c>
    </row>
    <row r="59" spans="1:24" x14ac:dyDescent="0.55000000000000004">
      <c r="A59" s="82" t="s">
        <v>311</v>
      </c>
      <c r="B59" s="81" t="s">
        <v>507</v>
      </c>
      <c r="C59" s="81" t="s">
        <v>308</v>
      </c>
      <c r="D59" s="76" t="s">
        <v>118</v>
      </c>
      <c r="E59" s="77">
        <v>338703</v>
      </c>
      <c r="F59" s="78">
        <v>114450</v>
      </c>
      <c r="G59" s="78"/>
      <c r="H59" s="78" t="s">
        <v>520</v>
      </c>
      <c r="I59" s="78">
        <v>0</v>
      </c>
      <c r="J59" s="78">
        <v>0</v>
      </c>
      <c r="K59">
        <v>0</v>
      </c>
      <c r="L59">
        <f>SUM(Table2[[#This Row],[2021 Reach]:[2023 Reach]])*5</f>
        <v>0</v>
      </c>
      <c r="M59">
        <f>Table2[[#This Row],[2023 Reach]]*5</f>
        <v>0</v>
      </c>
      <c r="N59" s="79">
        <f>IFERROR(Table2[[#This Row],[2023 Reach People]]/Table2[[#This Row],[2023 Affected People]],0)</f>
        <v>0</v>
      </c>
      <c r="O59">
        <f t="shared" si="0"/>
        <v>2</v>
      </c>
      <c r="P59">
        <f t="shared" si="6"/>
        <v>1</v>
      </c>
      <c r="Q59">
        <f t="shared" si="7"/>
        <v>1</v>
      </c>
      <c r="R59">
        <f t="shared" si="3"/>
        <v>1</v>
      </c>
      <c r="S59">
        <f t="shared" si="5"/>
        <v>2</v>
      </c>
      <c r="T59">
        <f>IF(Table2[[#This Row],[Access 2023]]="Hard to reach", 4, IF(Table2[[#This Row],[Access 2023]]="Partially Accessible", 3, 2))</f>
        <v>4</v>
      </c>
      <c r="U59">
        <v>2</v>
      </c>
      <c r="W59">
        <f>SUM(Table2[[#This Row],[PIN Score]],Table2[[#This Row],[Response 2023 Score]],Table2[[#This Row],[Neglected Locality Percentage Response]],Table2[[#This Row],[Security and Access]])</f>
        <v>9</v>
      </c>
      <c r="X59">
        <f t="shared" si="8"/>
        <v>5</v>
      </c>
    </row>
    <row r="60" spans="1:24" x14ac:dyDescent="0.55000000000000004">
      <c r="A60" s="82" t="s">
        <v>311</v>
      </c>
      <c r="B60" s="81" t="s">
        <v>507</v>
      </c>
      <c r="C60" s="81" t="s">
        <v>309</v>
      </c>
      <c r="D60" s="76" t="s">
        <v>119</v>
      </c>
      <c r="E60" s="77">
        <v>179004</v>
      </c>
      <c r="F60" s="78">
        <v>274237</v>
      </c>
      <c r="G60" s="78"/>
      <c r="H60" s="78" t="s">
        <v>520</v>
      </c>
      <c r="I60" s="78">
        <v>0</v>
      </c>
      <c r="J60" s="78">
        <v>10883</v>
      </c>
      <c r="K60">
        <v>0</v>
      </c>
      <c r="L60">
        <f>SUM(Table2[[#This Row],[2021 Reach]:[2023 Reach]])*5</f>
        <v>54415</v>
      </c>
      <c r="M60">
        <f>Table2[[#This Row],[2023 Reach]]*5</f>
        <v>0</v>
      </c>
      <c r="N60" s="79">
        <f>IFERROR(Table2[[#This Row],[2023 Reach People]]/Table2[[#This Row],[2023 Affected People]],0)</f>
        <v>0</v>
      </c>
      <c r="O60">
        <f t="shared" si="0"/>
        <v>4</v>
      </c>
      <c r="P60">
        <f t="shared" si="6"/>
        <v>1</v>
      </c>
      <c r="Q60">
        <f t="shared" si="7"/>
        <v>0</v>
      </c>
      <c r="R60">
        <f t="shared" si="3"/>
        <v>1</v>
      </c>
      <c r="S60">
        <f t="shared" si="5"/>
        <v>2</v>
      </c>
      <c r="T60">
        <f>IF(Table2[[#This Row],[Access 2023]]="Hard to reach", 4, IF(Table2[[#This Row],[Access 2023]]="Partially Accessible", 3, 2))</f>
        <v>4</v>
      </c>
      <c r="U60">
        <v>2</v>
      </c>
      <c r="W60">
        <f>SUM(Table2[[#This Row],[PIN Score]],Table2[[#This Row],[Response 2023 Score]],Table2[[#This Row],[Neglected Locality Percentage Response]],Table2[[#This Row],[Security and Access]])</f>
        <v>11</v>
      </c>
      <c r="X60">
        <f t="shared" si="8"/>
        <v>5</v>
      </c>
    </row>
    <row r="61" spans="1:24" x14ac:dyDescent="0.55000000000000004">
      <c r="A61" s="82" t="s">
        <v>311</v>
      </c>
      <c r="B61" s="81" t="s">
        <v>507</v>
      </c>
      <c r="C61" s="81" t="s">
        <v>310</v>
      </c>
      <c r="D61" s="76" t="s">
        <v>120</v>
      </c>
      <c r="E61" s="77">
        <v>322202</v>
      </c>
      <c r="F61" s="78">
        <v>222182</v>
      </c>
      <c r="G61" s="78"/>
      <c r="H61" s="78" t="s">
        <v>520</v>
      </c>
      <c r="I61" s="78">
        <v>0</v>
      </c>
      <c r="J61" s="78">
        <v>0</v>
      </c>
      <c r="K61">
        <v>0</v>
      </c>
      <c r="L61">
        <f>SUM(Table2[[#This Row],[2021 Reach]:[2023 Reach]])*5</f>
        <v>0</v>
      </c>
      <c r="M61">
        <f>Table2[[#This Row],[2023 Reach]]*5</f>
        <v>0</v>
      </c>
      <c r="N61" s="79">
        <f>IFERROR(Table2[[#This Row],[2023 Reach People]]/Table2[[#This Row],[2023 Affected People]],0)</f>
        <v>0</v>
      </c>
      <c r="O61">
        <f t="shared" si="0"/>
        <v>3</v>
      </c>
      <c r="P61">
        <f t="shared" si="6"/>
        <v>1</v>
      </c>
      <c r="Q61">
        <f t="shared" si="7"/>
        <v>1</v>
      </c>
      <c r="R61">
        <f t="shared" si="3"/>
        <v>1</v>
      </c>
      <c r="S61">
        <f t="shared" si="5"/>
        <v>2</v>
      </c>
      <c r="T61">
        <f>IF(Table2[[#This Row],[Access 2023]]="Hard to reach", 4, IF(Table2[[#This Row],[Access 2023]]="Partially Accessible", 3, 2))</f>
        <v>4</v>
      </c>
      <c r="U61">
        <v>2</v>
      </c>
      <c r="W61">
        <f>SUM(Table2[[#This Row],[PIN Score]],Table2[[#This Row],[Response 2023 Score]],Table2[[#This Row],[Neglected Locality Percentage Response]],Table2[[#This Row],[Security and Access]])</f>
        <v>10</v>
      </c>
      <c r="X61">
        <f t="shared" si="8"/>
        <v>5</v>
      </c>
    </row>
    <row r="62" spans="1:24" x14ac:dyDescent="0.55000000000000004">
      <c r="A62" s="82" t="s">
        <v>311</v>
      </c>
      <c r="B62" s="81" t="s">
        <v>507</v>
      </c>
      <c r="C62" s="81" t="s">
        <v>311</v>
      </c>
      <c r="D62" s="76" t="s">
        <v>121</v>
      </c>
      <c r="E62" s="77">
        <v>69668</v>
      </c>
      <c r="F62" s="78">
        <v>132033</v>
      </c>
      <c r="G62" s="78"/>
      <c r="H62" s="78" t="s">
        <v>520</v>
      </c>
      <c r="I62" s="78">
        <v>321</v>
      </c>
      <c r="J62" s="78">
        <v>223</v>
      </c>
      <c r="K62">
        <v>0</v>
      </c>
      <c r="L62">
        <f>SUM(Table2[[#This Row],[2021 Reach]:[2023 Reach]])*5</f>
        <v>2720</v>
      </c>
      <c r="M62">
        <f>Table2[[#This Row],[2023 Reach]]*5</f>
        <v>0</v>
      </c>
      <c r="N62" s="79">
        <f>IFERROR(Table2[[#This Row],[2023 Reach People]]/Table2[[#This Row],[2023 Affected People]],0)</f>
        <v>0</v>
      </c>
      <c r="O62">
        <f t="shared" si="0"/>
        <v>2</v>
      </c>
      <c r="P62">
        <f t="shared" si="6"/>
        <v>0</v>
      </c>
      <c r="Q62">
        <f t="shared" si="7"/>
        <v>0</v>
      </c>
      <c r="R62">
        <f t="shared" si="3"/>
        <v>1</v>
      </c>
      <c r="S62">
        <f t="shared" si="5"/>
        <v>2</v>
      </c>
      <c r="T62">
        <f>IF(Table2[[#This Row],[Access 2023]]="Hard to reach", 4, IF(Table2[[#This Row],[Access 2023]]="Partially Accessible", 3, 2))</f>
        <v>4</v>
      </c>
      <c r="U62">
        <v>2</v>
      </c>
      <c r="W62">
        <f>SUM(Table2[[#This Row],[PIN Score]],Table2[[#This Row],[Response 2023 Score]],Table2[[#This Row],[Neglected Locality Percentage Response]],Table2[[#This Row],[Security and Access]])</f>
        <v>9</v>
      </c>
      <c r="X62">
        <f t="shared" si="8"/>
        <v>5</v>
      </c>
    </row>
    <row r="63" spans="1:24" x14ac:dyDescent="0.55000000000000004">
      <c r="A63" s="82" t="s">
        <v>311</v>
      </c>
      <c r="B63" s="81" t="s">
        <v>507</v>
      </c>
      <c r="C63" s="81" t="s">
        <v>312</v>
      </c>
      <c r="D63" s="76" t="s">
        <v>122</v>
      </c>
      <c r="E63" s="77">
        <v>50990</v>
      </c>
      <c r="F63" s="78">
        <v>180534</v>
      </c>
      <c r="G63" s="78"/>
      <c r="H63" s="78" t="s">
        <v>520</v>
      </c>
      <c r="I63" s="78">
        <v>732</v>
      </c>
      <c r="J63" s="78">
        <v>200</v>
      </c>
      <c r="K63">
        <v>416</v>
      </c>
      <c r="L63">
        <f>SUM(Table2[[#This Row],[2021 Reach]:[2023 Reach]])*5</f>
        <v>6740</v>
      </c>
      <c r="M63">
        <f>Table2[[#This Row],[2023 Reach]]*5</f>
        <v>2080</v>
      </c>
      <c r="N63" s="79">
        <f>IFERROR(Table2[[#This Row],[2023 Reach People]]/Table2[[#This Row],[2023 Affected People]],0)</f>
        <v>4.079231221808198E-2</v>
      </c>
      <c r="O63">
        <f t="shared" si="0"/>
        <v>3</v>
      </c>
      <c r="P63">
        <f t="shared" si="6"/>
        <v>0</v>
      </c>
      <c r="Q63">
        <f t="shared" si="7"/>
        <v>0</v>
      </c>
      <c r="R63">
        <f t="shared" si="3"/>
        <v>0</v>
      </c>
      <c r="S63">
        <f t="shared" si="5"/>
        <v>1</v>
      </c>
      <c r="T63">
        <f>IF(Table2[[#This Row],[Access 2023]]="Hard to reach", 4, IF(Table2[[#This Row],[Access 2023]]="Partially Accessible", 3, 2))</f>
        <v>4</v>
      </c>
      <c r="U63">
        <v>2</v>
      </c>
      <c r="W63">
        <f>SUM(Table2[[#This Row],[PIN Score]],Table2[[#This Row],[Response 2023 Score]],Table2[[#This Row],[Neglected Locality Percentage Response]],Table2[[#This Row],[Security and Access]])</f>
        <v>8</v>
      </c>
      <c r="X63">
        <f t="shared" si="8"/>
        <v>5</v>
      </c>
    </row>
    <row r="64" spans="1:24" ht="24.6" x14ac:dyDescent="0.55000000000000004">
      <c r="A64" s="82" t="s">
        <v>311</v>
      </c>
      <c r="B64" s="81" t="s">
        <v>507</v>
      </c>
      <c r="C64" s="81" t="s">
        <v>313</v>
      </c>
      <c r="D64" s="76" t="s">
        <v>123</v>
      </c>
      <c r="E64" s="77">
        <v>97188</v>
      </c>
      <c r="F64" s="78">
        <v>304653</v>
      </c>
      <c r="G64" s="78"/>
      <c r="H64" s="78" t="s">
        <v>522</v>
      </c>
      <c r="I64" s="78">
        <v>0</v>
      </c>
      <c r="J64" s="78">
        <v>3663</v>
      </c>
      <c r="K64">
        <v>50</v>
      </c>
      <c r="L64">
        <f>SUM(Table2[[#This Row],[2021 Reach]:[2023 Reach]])*5</f>
        <v>18565</v>
      </c>
      <c r="M64">
        <f>Table2[[#This Row],[2023 Reach]]*5</f>
        <v>250</v>
      </c>
      <c r="N64" s="79">
        <f>IFERROR(Table2[[#This Row],[2023 Reach People]]/Table2[[#This Row],[2023 Affected People]],0)</f>
        <v>2.5723340330081903E-3</v>
      </c>
      <c r="O64">
        <f t="shared" si="0"/>
        <v>4</v>
      </c>
      <c r="P64">
        <f t="shared" si="6"/>
        <v>1</v>
      </c>
      <c r="Q64">
        <f t="shared" si="7"/>
        <v>0</v>
      </c>
      <c r="R64">
        <f t="shared" si="3"/>
        <v>0</v>
      </c>
      <c r="S64">
        <f t="shared" si="5"/>
        <v>1</v>
      </c>
      <c r="T64">
        <f>IF(Table2[[#This Row],[Access 2023]]="Hard to reach", 4, IF(Table2[[#This Row],[Access 2023]]="Partially Accessible", 3, 2))</f>
        <v>3</v>
      </c>
      <c r="U64">
        <v>2</v>
      </c>
      <c r="W64">
        <f>SUM(Table2[[#This Row],[PIN Score]],Table2[[#This Row],[Response 2023 Score]],Table2[[#This Row],[Neglected Locality Percentage Response]],Table2[[#This Row],[Security and Access]])</f>
        <v>8</v>
      </c>
      <c r="X64">
        <f t="shared" si="8"/>
        <v>5</v>
      </c>
    </row>
    <row r="65" spans="1:24" x14ac:dyDescent="0.55000000000000004">
      <c r="A65" s="82" t="s">
        <v>311</v>
      </c>
      <c r="B65" s="81" t="s">
        <v>507</v>
      </c>
      <c r="C65" s="81" t="s">
        <v>314</v>
      </c>
      <c r="D65" s="76" t="s">
        <v>124</v>
      </c>
      <c r="E65" s="77">
        <v>107664</v>
      </c>
      <c r="F65" s="78">
        <v>91728</v>
      </c>
      <c r="G65" s="78"/>
      <c r="H65" s="78" t="s">
        <v>520</v>
      </c>
      <c r="I65" s="78">
        <v>300</v>
      </c>
      <c r="J65" s="78">
        <v>0</v>
      </c>
      <c r="K65">
        <v>0</v>
      </c>
      <c r="L65">
        <f>SUM(Table2[[#This Row],[2021 Reach]:[2023 Reach]])*5</f>
        <v>1500</v>
      </c>
      <c r="M65">
        <f>Table2[[#This Row],[2023 Reach]]*5</f>
        <v>0</v>
      </c>
      <c r="N65" s="79">
        <f>IFERROR(Table2[[#This Row],[2023 Reach People]]/Table2[[#This Row],[2023 Affected People]],0)</f>
        <v>0</v>
      </c>
      <c r="O65">
        <f t="shared" si="0"/>
        <v>1</v>
      </c>
      <c r="P65">
        <f t="shared" si="6"/>
        <v>0</v>
      </c>
      <c r="Q65">
        <f t="shared" si="7"/>
        <v>1</v>
      </c>
      <c r="R65">
        <f t="shared" si="3"/>
        <v>1</v>
      </c>
      <c r="S65">
        <f t="shared" si="5"/>
        <v>2</v>
      </c>
      <c r="T65">
        <f>IF(Table2[[#This Row],[Access 2023]]="Hard to reach", 4, IF(Table2[[#This Row],[Access 2023]]="Partially Accessible", 3, 2))</f>
        <v>4</v>
      </c>
      <c r="U65">
        <v>2</v>
      </c>
      <c r="W65">
        <f>SUM(Table2[[#This Row],[PIN Score]],Table2[[#This Row],[Response 2023 Score]],Table2[[#This Row],[Neglected Locality Percentage Response]],Table2[[#This Row],[Security and Access]])</f>
        <v>8</v>
      </c>
      <c r="X65">
        <f t="shared" si="8"/>
        <v>5</v>
      </c>
    </row>
    <row r="66" spans="1:24" ht="24.6" x14ac:dyDescent="0.55000000000000004">
      <c r="A66" s="82" t="s">
        <v>448</v>
      </c>
      <c r="B66" s="81" t="s">
        <v>508</v>
      </c>
      <c r="C66" s="81" t="s">
        <v>315</v>
      </c>
      <c r="D66" s="76" t="s">
        <v>125</v>
      </c>
      <c r="E66" s="77">
        <v>105847</v>
      </c>
      <c r="F66" s="78">
        <v>536831</v>
      </c>
      <c r="G66" s="78"/>
      <c r="H66" s="78" t="s">
        <v>522</v>
      </c>
      <c r="I66" s="78">
        <v>0</v>
      </c>
      <c r="J66" s="78">
        <v>5553</v>
      </c>
      <c r="K66">
        <v>21615</v>
      </c>
      <c r="L66">
        <f>SUM(Table2[[#This Row],[2021 Reach]:[2023 Reach]])*5</f>
        <v>135840</v>
      </c>
      <c r="M66">
        <f>Table2[[#This Row],[2023 Reach]]*5</f>
        <v>108075</v>
      </c>
      <c r="N66" s="79">
        <f>IFERROR(Table2[[#This Row],[2023 Reach People]]/Table2[[#This Row],[2023 Affected People]],0)</f>
        <v>1.021049250333028</v>
      </c>
      <c r="O66">
        <f t="shared" ref="O66:O129" si="9">IF(F66&gt;250000,4,IF(F66&gt;150000,3,IF(F66&gt;100000,2,IF(F66&gt;0,1,0))))</f>
        <v>4</v>
      </c>
      <c r="P66">
        <f t="shared" ref="P66:P97" si="10">IF(I66=0,1,0)</f>
        <v>1</v>
      </c>
      <c r="Q66">
        <f t="shared" ref="Q66:Q97" si="11">IF(J66=0,1,0)</f>
        <v>0</v>
      </c>
      <c r="R66">
        <f t="shared" ref="R66:R129" si="12">IF(AND(E66&gt;0,K66=0),1,0)</f>
        <v>0</v>
      </c>
      <c r="S66">
        <f t="shared" si="5"/>
        <v>0</v>
      </c>
      <c r="T66">
        <f>IF(Table2[[#This Row],[Access 2023]]="Hard to reach", 4, IF(Table2[[#This Row],[Access 2023]]="Partially Accessible", 3, 2))</f>
        <v>3</v>
      </c>
      <c r="U66">
        <v>4</v>
      </c>
      <c r="W66">
        <f>SUM(Table2[[#This Row],[PIN Score]],Table2[[#This Row],[Response 2023 Score]],Table2[[#This Row],[Neglected Locality Percentage Response]],Table2[[#This Row],[Security and Access]])</f>
        <v>7</v>
      </c>
      <c r="X66">
        <f t="shared" ref="X66:X97" si="13">IF(W66&lt;=4, 1, IF(W66&lt;6, 2, IF(W66&lt;7, 3, IF(W66&lt;8, 4, 5))))</f>
        <v>4</v>
      </c>
    </row>
    <row r="67" spans="1:24" ht="24.6" x14ac:dyDescent="0.55000000000000004">
      <c r="A67" s="82" t="s">
        <v>448</v>
      </c>
      <c r="B67" s="81" t="s">
        <v>508</v>
      </c>
      <c r="C67" s="81" t="s">
        <v>316</v>
      </c>
      <c r="D67" s="76" t="s">
        <v>126</v>
      </c>
      <c r="E67" s="77">
        <v>91109</v>
      </c>
      <c r="F67" s="78">
        <v>0</v>
      </c>
      <c r="G67" s="78"/>
      <c r="H67" s="78" t="s">
        <v>522</v>
      </c>
      <c r="I67" s="78">
        <v>0</v>
      </c>
      <c r="J67" s="78">
        <v>0</v>
      </c>
      <c r="K67">
        <v>0</v>
      </c>
      <c r="L67">
        <f>SUM(Table2[[#This Row],[2021 Reach]:[2023 Reach]])*5</f>
        <v>0</v>
      </c>
      <c r="M67">
        <f>Table2[[#This Row],[2023 Reach]]*5</f>
        <v>0</v>
      </c>
      <c r="N67" s="79">
        <f>IFERROR(Table2[[#This Row],[2023 Reach People]]/Table2[[#This Row],[2023 Affected People]],0)</f>
        <v>0</v>
      </c>
      <c r="O67">
        <f t="shared" si="9"/>
        <v>0</v>
      </c>
      <c r="P67">
        <f t="shared" si="10"/>
        <v>1</v>
      </c>
      <c r="Q67">
        <f t="shared" si="11"/>
        <v>1</v>
      </c>
      <c r="R67">
        <f t="shared" si="12"/>
        <v>1</v>
      </c>
      <c r="S67">
        <f t="shared" ref="S67:S130" si="14">IF(N67&gt;50%,0,IF(N67&gt;0%,1,2))</f>
        <v>2</v>
      </c>
      <c r="T67">
        <f>IF(Table2[[#This Row],[Access 2023]]="Hard to reach", 4, IF(Table2[[#This Row],[Access 2023]]="Partially Accessible", 3, 2))</f>
        <v>3</v>
      </c>
      <c r="U67">
        <v>2</v>
      </c>
      <c r="W67">
        <f>SUM(Table2[[#This Row],[PIN Score]],Table2[[#This Row],[Response 2023 Score]],Table2[[#This Row],[Neglected Locality Percentage Response]],Table2[[#This Row],[Security and Access]])</f>
        <v>6</v>
      </c>
      <c r="X67">
        <f t="shared" si="13"/>
        <v>3</v>
      </c>
    </row>
    <row r="68" spans="1:24" ht="24.6" x14ac:dyDescent="0.55000000000000004">
      <c r="A68" s="82" t="s">
        <v>448</v>
      </c>
      <c r="B68" s="81" t="s">
        <v>508</v>
      </c>
      <c r="C68" s="81" t="s">
        <v>317</v>
      </c>
      <c r="D68" s="76" t="s">
        <v>127</v>
      </c>
      <c r="E68" s="77">
        <v>228035.8</v>
      </c>
      <c r="F68" s="78">
        <v>13531</v>
      </c>
      <c r="G68" s="78"/>
      <c r="H68" s="78" t="s">
        <v>522</v>
      </c>
      <c r="I68" s="78">
        <v>0</v>
      </c>
      <c r="J68" s="78">
        <v>8016</v>
      </c>
      <c r="K68">
        <v>46</v>
      </c>
      <c r="L68">
        <f>SUM(Table2[[#This Row],[2021 Reach]:[2023 Reach]])*5</f>
        <v>40310</v>
      </c>
      <c r="M68">
        <f>Table2[[#This Row],[2023 Reach]]*5</f>
        <v>230</v>
      </c>
      <c r="N68" s="79">
        <f>IFERROR(Table2[[#This Row],[2023 Reach People]]/Table2[[#This Row],[2023 Affected People]],0)</f>
        <v>1.008613559800698E-3</v>
      </c>
      <c r="O68">
        <f t="shared" si="9"/>
        <v>1</v>
      </c>
      <c r="P68">
        <f t="shared" si="10"/>
        <v>1</v>
      </c>
      <c r="Q68">
        <f t="shared" si="11"/>
        <v>0</v>
      </c>
      <c r="R68">
        <f t="shared" si="12"/>
        <v>0</v>
      </c>
      <c r="S68">
        <f t="shared" si="14"/>
        <v>1</v>
      </c>
      <c r="T68">
        <f>IF(Table2[[#This Row],[Access 2023]]="Hard to reach", 4, IF(Table2[[#This Row],[Access 2023]]="Partially Accessible", 3, 2))</f>
        <v>3</v>
      </c>
      <c r="U68">
        <v>2</v>
      </c>
      <c r="W68">
        <f>SUM(Table2[[#This Row],[PIN Score]],Table2[[#This Row],[Response 2023 Score]],Table2[[#This Row],[Neglected Locality Percentage Response]],Table2[[#This Row],[Security and Access]])</f>
        <v>5</v>
      </c>
      <c r="X68">
        <f t="shared" si="13"/>
        <v>2</v>
      </c>
    </row>
    <row r="69" spans="1:24" x14ac:dyDescent="0.55000000000000004">
      <c r="A69" s="82" t="s">
        <v>448</v>
      </c>
      <c r="B69" s="81" t="s">
        <v>508</v>
      </c>
      <c r="C69" s="81" t="s">
        <v>318</v>
      </c>
      <c r="D69" s="76" t="s">
        <v>128</v>
      </c>
      <c r="E69" s="77">
        <v>86275</v>
      </c>
      <c r="F69" s="78">
        <v>9435</v>
      </c>
      <c r="G69" s="78"/>
      <c r="H69" s="78" t="s">
        <v>520</v>
      </c>
      <c r="I69" s="78">
        <v>0</v>
      </c>
      <c r="J69" s="78">
        <v>230</v>
      </c>
      <c r="K69">
        <v>0</v>
      </c>
      <c r="L69">
        <f>SUM(Table2[[#This Row],[2021 Reach]:[2023 Reach]])*5</f>
        <v>1150</v>
      </c>
      <c r="M69">
        <f>Table2[[#This Row],[2023 Reach]]*5</f>
        <v>0</v>
      </c>
      <c r="N69" s="79">
        <f>IFERROR(Table2[[#This Row],[2023 Reach People]]/Table2[[#This Row],[2023 Affected People]],0)</f>
        <v>0</v>
      </c>
      <c r="O69">
        <f t="shared" si="9"/>
        <v>1</v>
      </c>
      <c r="P69">
        <f t="shared" si="10"/>
        <v>1</v>
      </c>
      <c r="Q69">
        <f t="shared" si="11"/>
        <v>0</v>
      </c>
      <c r="R69">
        <f t="shared" si="12"/>
        <v>1</v>
      </c>
      <c r="S69">
        <f t="shared" si="14"/>
        <v>2</v>
      </c>
      <c r="T69">
        <f>IF(Table2[[#This Row],[Access 2023]]="Hard to reach", 4, IF(Table2[[#This Row],[Access 2023]]="Partially Accessible", 3, 2))</f>
        <v>4</v>
      </c>
      <c r="U69">
        <v>2</v>
      </c>
      <c r="W69">
        <f>SUM(Table2[[#This Row],[PIN Score]],Table2[[#This Row],[Response 2023 Score]],Table2[[#This Row],[Neglected Locality Percentage Response]],Table2[[#This Row],[Security and Access]])</f>
        <v>8</v>
      </c>
      <c r="X69">
        <f t="shared" si="13"/>
        <v>5</v>
      </c>
    </row>
    <row r="70" spans="1:24" x14ac:dyDescent="0.55000000000000004">
      <c r="A70" s="82" t="s">
        <v>448</v>
      </c>
      <c r="B70" s="81" t="s">
        <v>508</v>
      </c>
      <c r="C70" s="81" t="s">
        <v>320</v>
      </c>
      <c r="D70" s="76" t="s">
        <v>130</v>
      </c>
      <c r="E70" s="77">
        <v>124749</v>
      </c>
      <c r="F70" s="78">
        <v>9285</v>
      </c>
      <c r="G70" s="78"/>
      <c r="H70" s="78" t="s">
        <v>523</v>
      </c>
      <c r="I70" s="78">
        <v>500</v>
      </c>
      <c r="J70" s="78">
        <v>0</v>
      </c>
      <c r="K70">
        <v>0</v>
      </c>
      <c r="L70">
        <f>SUM(Table2[[#This Row],[2021 Reach]:[2023 Reach]])*5</f>
        <v>2500</v>
      </c>
      <c r="M70">
        <f>Table2[[#This Row],[2023 Reach]]*5</f>
        <v>0</v>
      </c>
      <c r="N70" s="79">
        <f>IFERROR(Table2[[#This Row],[2023 Reach People]]/Table2[[#This Row],[2023 Affected People]],0)</f>
        <v>0</v>
      </c>
      <c r="O70">
        <f t="shared" si="9"/>
        <v>1</v>
      </c>
      <c r="P70">
        <f t="shared" si="10"/>
        <v>0</v>
      </c>
      <c r="Q70">
        <f t="shared" si="11"/>
        <v>1</v>
      </c>
      <c r="R70">
        <f t="shared" si="12"/>
        <v>1</v>
      </c>
      <c r="S70">
        <f t="shared" si="14"/>
        <v>2</v>
      </c>
      <c r="T70">
        <f>IF(Table2[[#This Row],[Access 2023]]="Hard to reach", 4, IF(Table2[[#This Row],[Access 2023]]="Partially Accessible", 3, 2))</f>
        <v>2</v>
      </c>
      <c r="U70">
        <v>1</v>
      </c>
      <c r="W70">
        <f>SUM(Table2[[#This Row],[PIN Score]],Table2[[#This Row],[Response 2023 Score]],Table2[[#This Row],[Neglected Locality Percentage Response]],Table2[[#This Row],[Security and Access]])</f>
        <v>6</v>
      </c>
      <c r="X70">
        <f t="shared" si="13"/>
        <v>3</v>
      </c>
    </row>
    <row r="71" spans="1:24" x14ac:dyDescent="0.55000000000000004">
      <c r="A71" s="82" t="s">
        <v>448</v>
      </c>
      <c r="B71" s="81" t="s">
        <v>508</v>
      </c>
      <c r="C71" s="81" t="s">
        <v>321</v>
      </c>
      <c r="D71" s="76" t="s">
        <v>131</v>
      </c>
      <c r="E71" s="77">
        <v>102889</v>
      </c>
      <c r="F71" s="78">
        <v>7697</v>
      </c>
      <c r="G71" s="78"/>
      <c r="H71" s="78" t="s">
        <v>520</v>
      </c>
      <c r="I71" s="78">
        <v>0</v>
      </c>
      <c r="J71" s="78">
        <v>46</v>
      </c>
      <c r="K71">
        <v>0</v>
      </c>
      <c r="L71">
        <f>SUM(Table2[[#This Row],[2021 Reach]:[2023 Reach]])*5</f>
        <v>230</v>
      </c>
      <c r="M71">
        <f>Table2[[#This Row],[2023 Reach]]*5</f>
        <v>0</v>
      </c>
      <c r="N71" s="79">
        <f>IFERROR(Table2[[#This Row],[2023 Reach People]]/Table2[[#This Row],[2023 Affected People]],0)</f>
        <v>0</v>
      </c>
      <c r="O71">
        <f t="shared" si="9"/>
        <v>1</v>
      </c>
      <c r="P71">
        <f t="shared" si="10"/>
        <v>1</v>
      </c>
      <c r="Q71">
        <f t="shared" si="11"/>
        <v>0</v>
      </c>
      <c r="R71">
        <f t="shared" si="12"/>
        <v>1</v>
      </c>
      <c r="S71">
        <f t="shared" si="14"/>
        <v>2</v>
      </c>
      <c r="T71">
        <f>IF(Table2[[#This Row],[Access 2023]]="Hard to reach", 4, IF(Table2[[#This Row],[Access 2023]]="Partially Accessible", 3, 2))</f>
        <v>4</v>
      </c>
      <c r="U71">
        <v>2</v>
      </c>
      <c r="W71">
        <f>SUM(Table2[[#This Row],[PIN Score]],Table2[[#This Row],[Response 2023 Score]],Table2[[#This Row],[Neglected Locality Percentage Response]],Table2[[#This Row],[Security and Access]])</f>
        <v>8</v>
      </c>
      <c r="X71">
        <f t="shared" si="13"/>
        <v>5</v>
      </c>
    </row>
    <row r="72" spans="1:24" x14ac:dyDescent="0.55000000000000004">
      <c r="A72" s="82" t="s">
        <v>448</v>
      </c>
      <c r="B72" s="81" t="s">
        <v>508</v>
      </c>
      <c r="C72" s="81" t="s">
        <v>322</v>
      </c>
      <c r="D72" s="76" t="s">
        <v>132</v>
      </c>
      <c r="E72" s="77">
        <v>124998</v>
      </c>
      <c r="F72" s="78">
        <v>0</v>
      </c>
      <c r="G72" s="78"/>
      <c r="H72" s="78" t="s">
        <v>520</v>
      </c>
      <c r="I72" s="78">
        <v>0</v>
      </c>
      <c r="J72" s="78">
        <v>0</v>
      </c>
      <c r="K72">
        <v>0</v>
      </c>
      <c r="L72">
        <f>SUM(Table2[[#This Row],[2021 Reach]:[2023 Reach]])*5</f>
        <v>0</v>
      </c>
      <c r="M72">
        <f>Table2[[#This Row],[2023 Reach]]*5</f>
        <v>0</v>
      </c>
      <c r="N72" s="79">
        <f>IFERROR(Table2[[#This Row],[2023 Reach People]]/Table2[[#This Row],[2023 Affected People]],0)</f>
        <v>0</v>
      </c>
      <c r="O72">
        <f t="shared" si="9"/>
        <v>0</v>
      </c>
      <c r="P72">
        <f t="shared" si="10"/>
        <v>1</v>
      </c>
      <c r="Q72">
        <f t="shared" si="11"/>
        <v>1</v>
      </c>
      <c r="R72">
        <f t="shared" si="12"/>
        <v>1</v>
      </c>
      <c r="S72">
        <f t="shared" si="14"/>
        <v>2</v>
      </c>
      <c r="T72">
        <f>IF(Table2[[#This Row],[Access 2023]]="Hard to reach", 4, IF(Table2[[#This Row],[Access 2023]]="Partially Accessible", 3, 2))</f>
        <v>4</v>
      </c>
      <c r="U72">
        <v>2</v>
      </c>
      <c r="W72">
        <f>SUM(Table2[[#This Row],[PIN Score]],Table2[[#This Row],[Response 2023 Score]],Table2[[#This Row],[Neglected Locality Percentage Response]],Table2[[#This Row],[Security and Access]])</f>
        <v>7</v>
      </c>
      <c r="X72">
        <f t="shared" si="13"/>
        <v>4</v>
      </c>
    </row>
    <row r="73" spans="1:24" x14ac:dyDescent="0.55000000000000004">
      <c r="A73" s="82" t="s">
        <v>448</v>
      </c>
      <c r="B73" s="81" t="s">
        <v>508</v>
      </c>
      <c r="C73" s="81" t="s">
        <v>323</v>
      </c>
      <c r="D73" s="76" t="s">
        <v>133</v>
      </c>
      <c r="E73" s="77">
        <v>121991</v>
      </c>
      <c r="F73" s="78">
        <v>44133</v>
      </c>
      <c r="G73" s="78"/>
      <c r="H73" s="78" t="s">
        <v>520</v>
      </c>
      <c r="I73" s="78">
        <v>0</v>
      </c>
      <c r="J73" s="78">
        <v>460</v>
      </c>
      <c r="K73">
        <v>500</v>
      </c>
      <c r="L73">
        <f>SUM(Table2[[#This Row],[2021 Reach]:[2023 Reach]])*5</f>
        <v>4800</v>
      </c>
      <c r="M73">
        <f>Table2[[#This Row],[2023 Reach]]*5</f>
        <v>2500</v>
      </c>
      <c r="N73" s="79">
        <f>IFERROR(Table2[[#This Row],[2023 Reach People]]/Table2[[#This Row],[2023 Affected People]],0)</f>
        <v>2.0493315080620703E-2</v>
      </c>
      <c r="O73">
        <f t="shared" si="9"/>
        <v>1</v>
      </c>
      <c r="P73">
        <f t="shared" si="10"/>
        <v>1</v>
      </c>
      <c r="Q73">
        <f t="shared" si="11"/>
        <v>0</v>
      </c>
      <c r="R73">
        <f t="shared" si="12"/>
        <v>0</v>
      </c>
      <c r="S73">
        <f t="shared" si="14"/>
        <v>1</v>
      </c>
      <c r="T73">
        <f>IF(Table2[[#This Row],[Access 2023]]="Hard to reach", 4, IF(Table2[[#This Row],[Access 2023]]="Partially Accessible", 3, 2))</f>
        <v>4</v>
      </c>
      <c r="U73">
        <v>1</v>
      </c>
      <c r="W73">
        <f>SUM(Table2[[#This Row],[PIN Score]],Table2[[#This Row],[Response 2023 Score]],Table2[[#This Row],[Neglected Locality Percentage Response]],Table2[[#This Row],[Security and Access]])</f>
        <v>6</v>
      </c>
      <c r="X73">
        <f t="shared" si="13"/>
        <v>3</v>
      </c>
    </row>
    <row r="74" spans="1:24" ht="24.6" x14ac:dyDescent="0.55000000000000004">
      <c r="A74" s="82" t="s">
        <v>448</v>
      </c>
      <c r="B74" s="81" t="s">
        <v>508</v>
      </c>
      <c r="C74" s="81" t="s">
        <v>324</v>
      </c>
      <c r="D74" s="76" t="s">
        <v>134</v>
      </c>
      <c r="E74" s="77">
        <v>124593</v>
      </c>
      <c r="F74" s="78">
        <v>68396</v>
      </c>
      <c r="G74" s="78"/>
      <c r="H74" s="78" t="s">
        <v>522</v>
      </c>
      <c r="I74" s="78">
        <v>3600</v>
      </c>
      <c r="J74" s="78">
        <v>3850</v>
      </c>
      <c r="K74">
        <v>0</v>
      </c>
      <c r="L74">
        <f>SUM(Table2[[#This Row],[2021 Reach]:[2023 Reach]])*5</f>
        <v>37250</v>
      </c>
      <c r="M74">
        <f>Table2[[#This Row],[2023 Reach]]*5</f>
        <v>0</v>
      </c>
      <c r="N74" s="79">
        <f>IFERROR(Table2[[#This Row],[2023 Reach People]]/Table2[[#This Row],[2023 Affected People]],0)</f>
        <v>0</v>
      </c>
      <c r="O74">
        <f t="shared" si="9"/>
        <v>1</v>
      </c>
      <c r="P74">
        <f t="shared" si="10"/>
        <v>0</v>
      </c>
      <c r="Q74">
        <f t="shared" si="11"/>
        <v>0</v>
      </c>
      <c r="R74">
        <f t="shared" si="12"/>
        <v>1</v>
      </c>
      <c r="S74">
        <f t="shared" si="14"/>
        <v>2</v>
      </c>
      <c r="T74">
        <f>IF(Table2[[#This Row],[Access 2023]]="Hard to reach", 4, IF(Table2[[#This Row],[Access 2023]]="Partially Accessible", 3, 2))</f>
        <v>3</v>
      </c>
      <c r="U74">
        <v>2</v>
      </c>
      <c r="W74">
        <f>SUM(Table2[[#This Row],[PIN Score]],Table2[[#This Row],[Response 2023 Score]],Table2[[#This Row],[Neglected Locality Percentage Response]],Table2[[#This Row],[Security and Access]])</f>
        <v>7</v>
      </c>
      <c r="X74">
        <f t="shared" si="13"/>
        <v>4</v>
      </c>
    </row>
    <row r="75" spans="1:24" x14ac:dyDescent="0.55000000000000004">
      <c r="A75" s="82" t="s">
        <v>448</v>
      </c>
      <c r="B75" s="81" t="s">
        <v>508</v>
      </c>
      <c r="C75" s="81" t="s">
        <v>325</v>
      </c>
      <c r="D75" s="76" t="s">
        <v>135</v>
      </c>
      <c r="E75" s="77">
        <v>69029</v>
      </c>
      <c r="F75" s="78">
        <v>8578</v>
      </c>
      <c r="G75" s="78"/>
      <c r="H75" s="78" t="s">
        <v>520</v>
      </c>
      <c r="I75" s="78">
        <v>0</v>
      </c>
      <c r="J75" s="78">
        <v>32</v>
      </c>
      <c r="K75">
        <v>9</v>
      </c>
      <c r="L75">
        <f>SUM(Table2[[#This Row],[2021 Reach]:[2023 Reach]])*5</f>
        <v>205</v>
      </c>
      <c r="M75">
        <f>Table2[[#This Row],[2023 Reach]]*5</f>
        <v>45</v>
      </c>
      <c r="N75" s="79">
        <f>IFERROR(Table2[[#This Row],[2023 Reach People]]/Table2[[#This Row],[2023 Affected People]],0)</f>
        <v>6.518999261180084E-4</v>
      </c>
      <c r="O75">
        <f t="shared" si="9"/>
        <v>1</v>
      </c>
      <c r="P75">
        <f t="shared" si="10"/>
        <v>1</v>
      </c>
      <c r="Q75">
        <f t="shared" si="11"/>
        <v>0</v>
      </c>
      <c r="R75">
        <f t="shared" si="12"/>
        <v>0</v>
      </c>
      <c r="S75">
        <f t="shared" si="14"/>
        <v>1</v>
      </c>
      <c r="T75">
        <f>IF(Table2[[#This Row],[Access 2023]]="Hard to reach", 4, IF(Table2[[#This Row],[Access 2023]]="Partially Accessible", 3, 2))</f>
        <v>4</v>
      </c>
      <c r="U75">
        <v>2</v>
      </c>
      <c r="W75">
        <f>SUM(Table2[[#This Row],[PIN Score]],Table2[[#This Row],[Response 2023 Score]],Table2[[#This Row],[Neglected Locality Percentage Response]],Table2[[#This Row],[Security and Access]])</f>
        <v>6</v>
      </c>
      <c r="X75">
        <f t="shared" si="13"/>
        <v>3</v>
      </c>
    </row>
    <row r="76" spans="1:24" ht="24.6" x14ac:dyDescent="0.55000000000000004">
      <c r="A76" s="82" t="s">
        <v>448</v>
      </c>
      <c r="B76" s="81" t="s">
        <v>508</v>
      </c>
      <c r="C76" s="81" t="s">
        <v>326</v>
      </c>
      <c r="D76" s="76" t="s">
        <v>136</v>
      </c>
      <c r="E76" s="77">
        <v>62345</v>
      </c>
      <c r="F76" s="78">
        <v>0</v>
      </c>
      <c r="G76" s="78"/>
      <c r="H76" s="78" t="s">
        <v>522</v>
      </c>
      <c r="I76" s="78">
        <v>0</v>
      </c>
      <c r="J76" s="78">
        <v>0</v>
      </c>
      <c r="K76">
        <v>0</v>
      </c>
      <c r="L76">
        <f>SUM(Table2[[#This Row],[2021 Reach]:[2023 Reach]])*5</f>
        <v>0</v>
      </c>
      <c r="M76">
        <f>Table2[[#This Row],[2023 Reach]]*5</f>
        <v>0</v>
      </c>
      <c r="N76" s="79">
        <f>IFERROR(Table2[[#This Row],[2023 Reach People]]/Table2[[#This Row],[2023 Affected People]],0)</f>
        <v>0</v>
      </c>
      <c r="O76">
        <f t="shared" si="9"/>
        <v>0</v>
      </c>
      <c r="P76">
        <f t="shared" si="10"/>
        <v>1</v>
      </c>
      <c r="Q76">
        <f t="shared" si="11"/>
        <v>1</v>
      </c>
      <c r="R76">
        <f t="shared" si="12"/>
        <v>1</v>
      </c>
      <c r="S76">
        <f t="shared" si="14"/>
        <v>2</v>
      </c>
      <c r="T76">
        <f>IF(Table2[[#This Row],[Access 2023]]="Hard to reach", 4, IF(Table2[[#This Row],[Access 2023]]="Partially Accessible", 3, 2))</f>
        <v>3</v>
      </c>
      <c r="U76">
        <v>2</v>
      </c>
      <c r="W76">
        <f>SUM(Table2[[#This Row],[PIN Score]],Table2[[#This Row],[Response 2023 Score]],Table2[[#This Row],[Neglected Locality Percentage Response]],Table2[[#This Row],[Security and Access]])</f>
        <v>6</v>
      </c>
      <c r="X76">
        <f t="shared" si="13"/>
        <v>3</v>
      </c>
    </row>
    <row r="77" spans="1:24" x14ac:dyDescent="0.55000000000000004">
      <c r="A77" s="82" t="s">
        <v>448</v>
      </c>
      <c r="B77" s="81" t="s">
        <v>508</v>
      </c>
      <c r="C77" s="81" t="s">
        <v>327</v>
      </c>
      <c r="D77" s="76" t="s">
        <v>137</v>
      </c>
      <c r="E77" s="77">
        <v>118322</v>
      </c>
      <c r="F77" s="78">
        <v>89999</v>
      </c>
      <c r="G77" s="78"/>
      <c r="H77" s="78" t="s">
        <v>520</v>
      </c>
      <c r="I77" s="78">
        <v>0</v>
      </c>
      <c r="J77" s="78">
        <v>174</v>
      </c>
      <c r="K77">
        <v>0</v>
      </c>
      <c r="L77">
        <f>SUM(Table2[[#This Row],[2021 Reach]:[2023 Reach]])*5</f>
        <v>870</v>
      </c>
      <c r="M77">
        <f>Table2[[#This Row],[2023 Reach]]*5</f>
        <v>0</v>
      </c>
      <c r="N77" s="79">
        <f>IFERROR(Table2[[#This Row],[2023 Reach People]]/Table2[[#This Row],[2023 Affected People]],0)</f>
        <v>0</v>
      </c>
      <c r="O77">
        <f t="shared" si="9"/>
        <v>1</v>
      </c>
      <c r="P77">
        <f t="shared" si="10"/>
        <v>1</v>
      </c>
      <c r="Q77">
        <f t="shared" si="11"/>
        <v>0</v>
      </c>
      <c r="R77">
        <f t="shared" si="12"/>
        <v>1</v>
      </c>
      <c r="S77">
        <f t="shared" si="14"/>
        <v>2</v>
      </c>
      <c r="T77">
        <f>IF(Table2[[#This Row],[Access 2023]]="Hard to reach", 4, IF(Table2[[#This Row],[Access 2023]]="Partially Accessible", 3, 2))</f>
        <v>4</v>
      </c>
      <c r="U77">
        <v>2</v>
      </c>
      <c r="W77">
        <f>SUM(Table2[[#This Row],[PIN Score]],Table2[[#This Row],[Response 2023 Score]],Table2[[#This Row],[Neglected Locality Percentage Response]],Table2[[#This Row],[Security and Access]])</f>
        <v>8</v>
      </c>
      <c r="X77">
        <f t="shared" si="13"/>
        <v>5</v>
      </c>
    </row>
    <row r="78" spans="1:24" x14ac:dyDescent="0.55000000000000004">
      <c r="A78" s="82" t="s">
        <v>448</v>
      </c>
      <c r="B78" s="81" t="s">
        <v>508</v>
      </c>
      <c r="C78" s="81" t="s">
        <v>328</v>
      </c>
      <c r="D78" s="76" t="s">
        <v>138</v>
      </c>
      <c r="E78" s="77">
        <v>194302</v>
      </c>
      <c r="F78" s="78">
        <v>22677</v>
      </c>
      <c r="G78" s="78"/>
      <c r="H78" s="78" t="s">
        <v>520</v>
      </c>
      <c r="I78" s="78">
        <v>0</v>
      </c>
      <c r="J78" s="78">
        <v>0</v>
      </c>
      <c r="K78">
        <v>0</v>
      </c>
      <c r="L78">
        <f>SUM(Table2[[#This Row],[2021 Reach]:[2023 Reach]])*5</f>
        <v>0</v>
      </c>
      <c r="M78">
        <f>Table2[[#This Row],[2023 Reach]]*5</f>
        <v>0</v>
      </c>
      <c r="N78" s="79">
        <f>IFERROR(Table2[[#This Row],[2023 Reach People]]/Table2[[#This Row],[2023 Affected People]],0)</f>
        <v>0</v>
      </c>
      <c r="O78">
        <f t="shared" si="9"/>
        <v>1</v>
      </c>
      <c r="P78">
        <f t="shared" si="10"/>
        <v>1</v>
      </c>
      <c r="Q78">
        <f t="shared" si="11"/>
        <v>1</v>
      </c>
      <c r="R78">
        <f t="shared" si="12"/>
        <v>1</v>
      </c>
      <c r="S78">
        <f t="shared" si="14"/>
        <v>2</v>
      </c>
      <c r="T78">
        <f>IF(Table2[[#This Row],[Access 2023]]="Hard to reach", 4, IF(Table2[[#This Row],[Access 2023]]="Partially Accessible", 3, 2))</f>
        <v>4</v>
      </c>
      <c r="U78">
        <v>4</v>
      </c>
      <c r="W78">
        <f>SUM(Table2[[#This Row],[PIN Score]],Table2[[#This Row],[Response 2023 Score]],Table2[[#This Row],[Neglected Locality Percentage Response]],Table2[[#This Row],[Security and Access]])</f>
        <v>8</v>
      </c>
      <c r="X78">
        <f t="shared" si="13"/>
        <v>5</v>
      </c>
    </row>
    <row r="79" spans="1:24" ht="24.6" x14ac:dyDescent="0.55000000000000004">
      <c r="A79" s="82" t="s">
        <v>448</v>
      </c>
      <c r="B79" s="81" t="s">
        <v>508</v>
      </c>
      <c r="C79" s="81" t="s">
        <v>329</v>
      </c>
      <c r="D79" s="76" t="s">
        <v>139</v>
      </c>
      <c r="E79" s="77">
        <v>110066</v>
      </c>
      <c r="F79" s="78">
        <v>62915</v>
      </c>
      <c r="G79" s="78"/>
      <c r="H79" s="78" t="s">
        <v>522</v>
      </c>
      <c r="I79" s="78">
        <v>0</v>
      </c>
      <c r="J79" s="78">
        <v>3784</v>
      </c>
      <c r="K79">
        <v>64</v>
      </c>
      <c r="L79">
        <f>SUM(Table2[[#This Row],[2021 Reach]:[2023 Reach]])*5</f>
        <v>19240</v>
      </c>
      <c r="M79">
        <f>Table2[[#This Row],[2023 Reach]]*5</f>
        <v>320</v>
      </c>
      <c r="N79" s="79">
        <f>IFERROR(Table2[[#This Row],[2023 Reach People]]/Table2[[#This Row],[2023 Affected People]],0)</f>
        <v>2.9073465011901951E-3</v>
      </c>
      <c r="O79">
        <f t="shared" si="9"/>
        <v>1</v>
      </c>
      <c r="P79">
        <f t="shared" si="10"/>
        <v>1</v>
      </c>
      <c r="Q79">
        <f t="shared" si="11"/>
        <v>0</v>
      </c>
      <c r="R79">
        <f t="shared" si="12"/>
        <v>0</v>
      </c>
      <c r="S79">
        <f t="shared" si="14"/>
        <v>1</v>
      </c>
      <c r="T79">
        <f>IF(Table2[[#This Row],[Access 2023]]="Hard to reach", 4, IF(Table2[[#This Row],[Access 2023]]="Partially Accessible", 3, 2))</f>
        <v>3</v>
      </c>
      <c r="U79">
        <v>2</v>
      </c>
      <c r="W79">
        <f>SUM(Table2[[#This Row],[PIN Score]],Table2[[#This Row],[Response 2023 Score]],Table2[[#This Row],[Neglected Locality Percentage Response]],Table2[[#This Row],[Security and Access]])</f>
        <v>5</v>
      </c>
      <c r="X79">
        <f t="shared" si="13"/>
        <v>2</v>
      </c>
    </row>
    <row r="80" spans="1:24" x14ac:dyDescent="0.55000000000000004">
      <c r="A80" s="82" t="s">
        <v>448</v>
      </c>
      <c r="B80" s="81" t="s">
        <v>508</v>
      </c>
      <c r="C80" s="81" t="s">
        <v>330</v>
      </c>
      <c r="D80" s="76" t="s">
        <v>140</v>
      </c>
      <c r="E80" s="77">
        <v>218904</v>
      </c>
      <c r="F80" s="78">
        <v>72649</v>
      </c>
      <c r="G80" s="78"/>
      <c r="H80" s="78" t="s">
        <v>520</v>
      </c>
      <c r="I80" s="78">
        <v>5333</v>
      </c>
      <c r="J80" s="78">
        <v>494</v>
      </c>
      <c r="K80">
        <v>500</v>
      </c>
      <c r="L80">
        <f>SUM(Table2[[#This Row],[2021 Reach]:[2023 Reach]])*5</f>
        <v>31635</v>
      </c>
      <c r="M80">
        <f>Table2[[#This Row],[2023 Reach]]*5</f>
        <v>2500</v>
      </c>
      <c r="N80" s="79">
        <f>IFERROR(Table2[[#This Row],[2023 Reach People]]/Table2[[#This Row],[2023 Affected People]],0)</f>
        <v>1.1420531374483792E-2</v>
      </c>
      <c r="O80">
        <f t="shared" si="9"/>
        <v>1</v>
      </c>
      <c r="P80">
        <f t="shared" si="10"/>
        <v>0</v>
      </c>
      <c r="Q80">
        <f t="shared" si="11"/>
        <v>0</v>
      </c>
      <c r="R80">
        <f t="shared" si="12"/>
        <v>0</v>
      </c>
      <c r="S80">
        <f t="shared" si="14"/>
        <v>1</v>
      </c>
      <c r="T80">
        <f>IF(Table2[[#This Row],[Access 2023]]="Hard to reach", 4, IF(Table2[[#This Row],[Access 2023]]="Partially Accessible", 3, 2))</f>
        <v>4</v>
      </c>
      <c r="U80">
        <v>2</v>
      </c>
      <c r="W80">
        <f>SUM(Table2[[#This Row],[PIN Score]],Table2[[#This Row],[Response 2023 Score]],Table2[[#This Row],[Neglected Locality Percentage Response]],Table2[[#This Row],[Security and Access]])</f>
        <v>6</v>
      </c>
      <c r="X80">
        <f t="shared" si="13"/>
        <v>3</v>
      </c>
    </row>
    <row r="81" spans="1:24" x14ac:dyDescent="0.55000000000000004">
      <c r="A81" s="82" t="s">
        <v>448</v>
      </c>
      <c r="B81" s="81" t="s">
        <v>508</v>
      </c>
      <c r="C81" s="81" t="s">
        <v>331</v>
      </c>
      <c r="D81" s="76" t="s">
        <v>141</v>
      </c>
      <c r="E81" s="77">
        <v>84205</v>
      </c>
      <c r="F81" s="78">
        <v>0</v>
      </c>
      <c r="G81" s="78"/>
      <c r="H81" s="78" t="s">
        <v>520</v>
      </c>
      <c r="I81" s="78">
        <v>0</v>
      </c>
      <c r="J81" s="78">
        <v>0</v>
      </c>
      <c r="K81">
        <v>0</v>
      </c>
      <c r="L81">
        <f>SUM(Table2[[#This Row],[2021 Reach]:[2023 Reach]])*5</f>
        <v>0</v>
      </c>
      <c r="M81">
        <f>Table2[[#This Row],[2023 Reach]]*5</f>
        <v>0</v>
      </c>
      <c r="N81" s="79">
        <f>IFERROR(Table2[[#This Row],[2023 Reach People]]/Table2[[#This Row],[2023 Affected People]],0)</f>
        <v>0</v>
      </c>
      <c r="O81">
        <f t="shared" si="9"/>
        <v>0</v>
      </c>
      <c r="P81">
        <f t="shared" si="10"/>
        <v>1</v>
      </c>
      <c r="Q81">
        <f t="shared" si="11"/>
        <v>1</v>
      </c>
      <c r="R81">
        <f t="shared" si="12"/>
        <v>1</v>
      </c>
      <c r="S81">
        <f t="shared" si="14"/>
        <v>2</v>
      </c>
      <c r="T81">
        <f>IF(Table2[[#This Row],[Access 2023]]="Hard to reach", 4, IF(Table2[[#This Row],[Access 2023]]="Partially Accessible", 3, 2))</f>
        <v>4</v>
      </c>
      <c r="U81">
        <v>4</v>
      </c>
      <c r="W81">
        <f>SUM(Table2[[#This Row],[PIN Score]],Table2[[#This Row],[Response 2023 Score]],Table2[[#This Row],[Neglected Locality Percentage Response]],Table2[[#This Row],[Security and Access]])</f>
        <v>7</v>
      </c>
      <c r="X81">
        <f t="shared" si="13"/>
        <v>4</v>
      </c>
    </row>
    <row r="82" spans="1:24" x14ac:dyDescent="0.55000000000000004">
      <c r="A82" s="82" t="s">
        <v>448</v>
      </c>
      <c r="B82" s="81" t="s">
        <v>508</v>
      </c>
      <c r="C82" s="81" t="s">
        <v>332</v>
      </c>
      <c r="D82" s="76" t="s">
        <v>142</v>
      </c>
      <c r="E82" s="77">
        <v>271637</v>
      </c>
      <c r="F82" s="78">
        <v>0</v>
      </c>
      <c r="G82" s="78"/>
      <c r="H82" s="78" t="s">
        <v>520</v>
      </c>
      <c r="I82" s="78">
        <v>0</v>
      </c>
      <c r="J82" s="78">
        <v>21</v>
      </c>
      <c r="K82">
        <v>0</v>
      </c>
      <c r="L82">
        <f>SUM(Table2[[#This Row],[2021 Reach]:[2023 Reach]])*5</f>
        <v>105</v>
      </c>
      <c r="M82">
        <f>Table2[[#This Row],[2023 Reach]]*5</f>
        <v>0</v>
      </c>
      <c r="N82" s="79">
        <f>IFERROR(Table2[[#This Row],[2023 Reach People]]/Table2[[#This Row],[2023 Affected People]],0)</f>
        <v>0</v>
      </c>
      <c r="O82">
        <f t="shared" si="9"/>
        <v>0</v>
      </c>
      <c r="P82">
        <f t="shared" si="10"/>
        <v>1</v>
      </c>
      <c r="Q82">
        <f t="shared" si="11"/>
        <v>0</v>
      </c>
      <c r="R82">
        <f t="shared" si="12"/>
        <v>1</v>
      </c>
      <c r="S82">
        <f t="shared" si="14"/>
        <v>2</v>
      </c>
      <c r="T82">
        <f>IF(Table2[[#This Row],[Access 2023]]="Hard to reach", 4, IF(Table2[[#This Row],[Access 2023]]="Partially Accessible", 3, 2))</f>
        <v>4</v>
      </c>
      <c r="U82">
        <v>2</v>
      </c>
      <c r="W82">
        <f>SUM(Table2[[#This Row],[PIN Score]],Table2[[#This Row],[Response 2023 Score]],Table2[[#This Row],[Neglected Locality Percentage Response]],Table2[[#This Row],[Security and Access]])</f>
        <v>7</v>
      </c>
      <c r="X82">
        <f t="shared" si="13"/>
        <v>4</v>
      </c>
    </row>
    <row r="83" spans="1:24" ht="24.6" x14ac:dyDescent="0.55000000000000004">
      <c r="A83" s="82" t="s">
        <v>448</v>
      </c>
      <c r="B83" s="81" t="s">
        <v>508</v>
      </c>
      <c r="C83" s="81" t="s">
        <v>319</v>
      </c>
      <c r="D83" s="76" t="s">
        <v>129</v>
      </c>
      <c r="E83" s="77">
        <v>38133</v>
      </c>
      <c r="F83" s="78">
        <v>0</v>
      </c>
      <c r="G83" s="78"/>
      <c r="H83" s="78" t="s">
        <v>522</v>
      </c>
      <c r="I83" s="78">
        <v>0</v>
      </c>
      <c r="J83" s="78">
        <v>0</v>
      </c>
      <c r="K83">
        <v>0</v>
      </c>
      <c r="L83">
        <f>SUM(Table2[[#This Row],[2021 Reach]:[2023 Reach]])*5</f>
        <v>0</v>
      </c>
      <c r="M83">
        <f>Table2[[#This Row],[2023 Reach]]*5</f>
        <v>0</v>
      </c>
      <c r="N83" s="79">
        <f>IFERROR(Table2[[#This Row],[2023 Reach People]]/Table2[[#This Row],[2023 Affected People]],0)</f>
        <v>0</v>
      </c>
      <c r="O83">
        <f t="shared" si="9"/>
        <v>0</v>
      </c>
      <c r="P83">
        <f t="shared" si="10"/>
        <v>1</v>
      </c>
      <c r="Q83">
        <f t="shared" si="11"/>
        <v>1</v>
      </c>
      <c r="R83">
        <f t="shared" si="12"/>
        <v>1</v>
      </c>
      <c r="S83">
        <f t="shared" si="14"/>
        <v>2</v>
      </c>
      <c r="T83">
        <f>IF(Table2[[#This Row],[Access 2023]]="Hard to reach", 4, IF(Table2[[#This Row],[Access 2023]]="Partially Accessible", 3, 2))</f>
        <v>3</v>
      </c>
      <c r="U83">
        <v>2</v>
      </c>
      <c r="W83">
        <f>SUM(Table2[[#This Row],[PIN Score]],Table2[[#This Row],[Response 2023 Score]],Table2[[#This Row],[Neglected Locality Percentage Response]],Table2[[#This Row],[Security and Access]])</f>
        <v>6</v>
      </c>
      <c r="X83">
        <f t="shared" si="13"/>
        <v>3</v>
      </c>
    </row>
    <row r="84" spans="1:24" x14ac:dyDescent="0.55000000000000004">
      <c r="A84" s="82" t="s">
        <v>449</v>
      </c>
      <c r="B84" s="81" t="s">
        <v>509</v>
      </c>
      <c r="C84" s="81" t="s">
        <v>505</v>
      </c>
      <c r="D84" s="76" t="s">
        <v>143</v>
      </c>
      <c r="E84" s="77">
        <v>42663</v>
      </c>
      <c r="F84" s="78">
        <v>23207</v>
      </c>
      <c r="G84" s="78"/>
      <c r="H84" s="78" t="s">
        <v>521</v>
      </c>
      <c r="I84" s="78">
        <v>0</v>
      </c>
      <c r="J84" s="78">
        <v>0</v>
      </c>
      <c r="K84">
        <v>0</v>
      </c>
      <c r="L84">
        <f>SUM(Table2[[#This Row],[2021 Reach]:[2023 Reach]])*5</f>
        <v>0</v>
      </c>
      <c r="M84">
        <f>Table2[[#This Row],[2023 Reach]]*5</f>
        <v>0</v>
      </c>
      <c r="N84" s="79">
        <f>IFERROR(Table2[[#This Row],[2023 Reach People]]/Table2[[#This Row],[2023 Affected People]],0)</f>
        <v>0</v>
      </c>
      <c r="O84">
        <f t="shared" si="9"/>
        <v>1</v>
      </c>
      <c r="P84">
        <f t="shared" si="10"/>
        <v>1</v>
      </c>
      <c r="Q84">
        <f t="shared" si="11"/>
        <v>1</v>
      </c>
      <c r="R84">
        <f t="shared" si="12"/>
        <v>1</v>
      </c>
      <c r="S84">
        <f t="shared" si="14"/>
        <v>2</v>
      </c>
      <c r="T84">
        <f>IF(Table2[[#This Row],[Access 2023]]="Hard to reach", 4, IF(Table2[[#This Row],[Access 2023]]="Partially Accessible", 3, 2))</f>
        <v>2</v>
      </c>
      <c r="U84">
        <v>3</v>
      </c>
      <c r="W84">
        <f>SUM(Table2[[#This Row],[PIN Score]],Table2[[#This Row],[Response 2023 Score]],Table2[[#This Row],[Neglected Locality Percentage Response]],Table2[[#This Row],[Security and Access]])</f>
        <v>6</v>
      </c>
      <c r="X84">
        <f t="shared" si="13"/>
        <v>3</v>
      </c>
    </row>
    <row r="85" spans="1:24" x14ac:dyDescent="0.55000000000000004">
      <c r="A85" s="82" t="s">
        <v>449</v>
      </c>
      <c r="B85" s="81" t="s">
        <v>509</v>
      </c>
      <c r="C85" s="81" t="s">
        <v>334</v>
      </c>
      <c r="D85" s="76" t="s">
        <v>144</v>
      </c>
      <c r="E85" s="77">
        <v>14371</v>
      </c>
      <c r="F85" s="78">
        <v>0</v>
      </c>
      <c r="G85" s="78"/>
      <c r="H85" s="78" t="s">
        <v>520</v>
      </c>
      <c r="I85" s="78">
        <v>0</v>
      </c>
      <c r="J85" s="78">
        <v>0</v>
      </c>
      <c r="K85">
        <v>0</v>
      </c>
      <c r="L85">
        <f>SUM(Table2[[#This Row],[2021 Reach]:[2023 Reach]])*5</f>
        <v>0</v>
      </c>
      <c r="M85">
        <f>Table2[[#This Row],[2023 Reach]]*5</f>
        <v>0</v>
      </c>
      <c r="N85" s="79">
        <f>IFERROR(Table2[[#This Row],[2023 Reach People]]/Table2[[#This Row],[2023 Affected People]],0)</f>
        <v>0</v>
      </c>
      <c r="O85">
        <f t="shared" si="9"/>
        <v>0</v>
      </c>
      <c r="P85">
        <f t="shared" si="10"/>
        <v>1</v>
      </c>
      <c r="Q85">
        <f t="shared" si="11"/>
        <v>1</v>
      </c>
      <c r="R85">
        <f t="shared" si="12"/>
        <v>1</v>
      </c>
      <c r="S85">
        <f t="shared" si="14"/>
        <v>2</v>
      </c>
      <c r="T85">
        <f>IF(Table2[[#This Row],[Access 2023]]="Hard to reach", 4, IF(Table2[[#This Row],[Access 2023]]="Partially Accessible", 3, 2))</f>
        <v>4</v>
      </c>
      <c r="U85">
        <v>2</v>
      </c>
      <c r="W85">
        <f>SUM(Table2[[#This Row],[PIN Score]],Table2[[#This Row],[Response 2023 Score]],Table2[[#This Row],[Neglected Locality Percentage Response]],Table2[[#This Row],[Security and Access]])</f>
        <v>7</v>
      </c>
      <c r="X85">
        <f t="shared" si="13"/>
        <v>4</v>
      </c>
    </row>
    <row r="86" spans="1:24" ht="27.6" x14ac:dyDescent="0.55000000000000004">
      <c r="A86" s="82" t="s">
        <v>449</v>
      </c>
      <c r="B86" s="81" t="s">
        <v>509</v>
      </c>
      <c r="C86" s="81" t="s">
        <v>335</v>
      </c>
      <c r="D86" s="76" t="s">
        <v>145</v>
      </c>
      <c r="E86" s="77">
        <v>35073</v>
      </c>
      <c r="F86" s="78">
        <v>22479</v>
      </c>
      <c r="G86" s="78"/>
      <c r="H86" s="78" t="s">
        <v>520</v>
      </c>
      <c r="I86" s="78">
        <v>0</v>
      </c>
      <c r="J86" s="78">
        <v>0</v>
      </c>
      <c r="K86">
        <v>0</v>
      </c>
      <c r="L86">
        <f>SUM(Table2[[#This Row],[2021 Reach]:[2023 Reach]])*5</f>
        <v>0</v>
      </c>
      <c r="M86">
        <f>Table2[[#This Row],[2023 Reach]]*5</f>
        <v>0</v>
      </c>
      <c r="N86" s="79">
        <f>IFERROR(Table2[[#This Row],[2023 Reach People]]/Table2[[#This Row],[2023 Affected People]],0)</f>
        <v>0</v>
      </c>
      <c r="O86">
        <f t="shared" si="9"/>
        <v>1</v>
      </c>
      <c r="P86">
        <f t="shared" si="10"/>
        <v>1</v>
      </c>
      <c r="Q86">
        <f t="shared" si="11"/>
        <v>1</v>
      </c>
      <c r="R86">
        <f t="shared" si="12"/>
        <v>1</v>
      </c>
      <c r="S86">
        <f t="shared" si="14"/>
        <v>2</v>
      </c>
      <c r="T86">
        <f>IF(Table2[[#This Row],[Access 2023]]="Hard to reach", 4, IF(Table2[[#This Row],[Access 2023]]="Partially Accessible", 3, 2))</f>
        <v>4</v>
      </c>
      <c r="U86">
        <v>2</v>
      </c>
      <c r="W86">
        <f>SUM(Table2[[#This Row],[PIN Score]],Table2[[#This Row],[Response 2023 Score]],Table2[[#This Row],[Neglected Locality Percentage Response]],Table2[[#This Row],[Security and Access]])</f>
        <v>8</v>
      </c>
      <c r="X86">
        <f t="shared" si="13"/>
        <v>5</v>
      </c>
    </row>
    <row r="87" spans="1:24" x14ac:dyDescent="0.55000000000000004">
      <c r="A87" s="82" t="s">
        <v>449</v>
      </c>
      <c r="B87" s="81" t="s">
        <v>509</v>
      </c>
      <c r="C87" s="81" t="s">
        <v>336</v>
      </c>
      <c r="D87" s="76" t="s">
        <v>146</v>
      </c>
      <c r="E87" s="77">
        <v>91829</v>
      </c>
      <c r="F87" s="78">
        <v>19821</v>
      </c>
      <c r="G87" s="78"/>
      <c r="H87" s="78" t="s">
        <v>520</v>
      </c>
      <c r="I87" s="78">
        <v>0</v>
      </c>
      <c r="J87" s="78">
        <v>0</v>
      </c>
      <c r="K87">
        <v>0</v>
      </c>
      <c r="L87">
        <f>SUM(Table2[[#This Row],[2021 Reach]:[2023 Reach]])*5</f>
        <v>0</v>
      </c>
      <c r="M87">
        <f>Table2[[#This Row],[2023 Reach]]*5</f>
        <v>0</v>
      </c>
      <c r="N87" s="79">
        <f>IFERROR(Table2[[#This Row],[2023 Reach People]]/Table2[[#This Row],[2023 Affected People]],0)</f>
        <v>0</v>
      </c>
      <c r="O87">
        <f t="shared" si="9"/>
        <v>1</v>
      </c>
      <c r="P87">
        <f t="shared" si="10"/>
        <v>1</v>
      </c>
      <c r="Q87">
        <f t="shared" si="11"/>
        <v>1</v>
      </c>
      <c r="R87">
        <f t="shared" si="12"/>
        <v>1</v>
      </c>
      <c r="S87">
        <f t="shared" si="14"/>
        <v>2</v>
      </c>
      <c r="T87">
        <f>IF(Table2[[#This Row],[Access 2023]]="Hard to reach", 4, IF(Table2[[#This Row],[Access 2023]]="Partially Accessible", 3, 2))</f>
        <v>4</v>
      </c>
      <c r="U87">
        <v>2</v>
      </c>
      <c r="W87">
        <f>SUM(Table2[[#This Row],[PIN Score]],Table2[[#This Row],[Response 2023 Score]],Table2[[#This Row],[Neglected Locality Percentage Response]],Table2[[#This Row],[Security and Access]])</f>
        <v>8</v>
      </c>
      <c r="X87">
        <f t="shared" si="13"/>
        <v>5</v>
      </c>
    </row>
    <row r="88" spans="1:24" x14ac:dyDescent="0.55000000000000004">
      <c r="A88" s="82" t="s">
        <v>449</v>
      </c>
      <c r="B88" s="81" t="s">
        <v>509</v>
      </c>
      <c r="C88" s="81" t="s">
        <v>337</v>
      </c>
      <c r="D88" s="76" t="s">
        <v>147</v>
      </c>
      <c r="E88" s="77">
        <v>93490</v>
      </c>
      <c r="F88" s="78">
        <v>123943</v>
      </c>
      <c r="G88" s="78"/>
      <c r="H88" s="78" t="s">
        <v>520</v>
      </c>
      <c r="I88" s="78">
        <v>0</v>
      </c>
      <c r="J88" s="78">
        <v>0</v>
      </c>
      <c r="K88">
        <v>472</v>
      </c>
      <c r="L88">
        <f>SUM(Table2[[#This Row],[2021 Reach]:[2023 Reach]])*5</f>
        <v>2360</v>
      </c>
      <c r="M88">
        <f>Table2[[#This Row],[2023 Reach]]*5</f>
        <v>2360</v>
      </c>
      <c r="N88" s="79">
        <f>IFERROR(Table2[[#This Row],[2023 Reach People]]/Table2[[#This Row],[2023 Affected People]],0)</f>
        <v>2.5243341533853887E-2</v>
      </c>
      <c r="O88">
        <f t="shared" si="9"/>
        <v>2</v>
      </c>
      <c r="P88">
        <f t="shared" si="10"/>
        <v>1</v>
      </c>
      <c r="Q88">
        <f t="shared" si="11"/>
        <v>1</v>
      </c>
      <c r="R88">
        <f t="shared" si="12"/>
        <v>0</v>
      </c>
      <c r="S88">
        <f t="shared" si="14"/>
        <v>1</v>
      </c>
      <c r="T88">
        <f>IF(Table2[[#This Row],[Access 2023]]="Hard to reach", 4, IF(Table2[[#This Row],[Access 2023]]="Partially Accessible", 3, 2))</f>
        <v>4</v>
      </c>
      <c r="U88">
        <v>2</v>
      </c>
      <c r="W88">
        <f>SUM(Table2[[#This Row],[PIN Score]],Table2[[#This Row],[Response 2023 Score]],Table2[[#This Row],[Neglected Locality Percentage Response]],Table2[[#This Row],[Security and Access]])</f>
        <v>7</v>
      </c>
      <c r="X88">
        <f t="shared" si="13"/>
        <v>4</v>
      </c>
    </row>
    <row r="89" spans="1:24" x14ac:dyDescent="0.55000000000000004">
      <c r="A89" s="82" t="s">
        <v>449</v>
      </c>
      <c r="B89" s="81" t="s">
        <v>509</v>
      </c>
      <c r="C89" s="81" t="s">
        <v>338</v>
      </c>
      <c r="D89" s="76" t="s">
        <v>148</v>
      </c>
      <c r="E89" s="77">
        <v>84241</v>
      </c>
      <c r="F89" s="78">
        <v>30695</v>
      </c>
      <c r="G89" s="78"/>
      <c r="H89" s="78" t="s">
        <v>520</v>
      </c>
      <c r="I89" s="78">
        <v>0</v>
      </c>
      <c r="J89" s="78">
        <v>0</v>
      </c>
      <c r="K89">
        <v>0</v>
      </c>
      <c r="L89">
        <f>SUM(Table2[[#This Row],[2021 Reach]:[2023 Reach]])*5</f>
        <v>0</v>
      </c>
      <c r="M89">
        <f>Table2[[#This Row],[2023 Reach]]*5</f>
        <v>0</v>
      </c>
      <c r="N89" s="79">
        <f>IFERROR(Table2[[#This Row],[2023 Reach People]]/Table2[[#This Row],[2023 Affected People]],0)</f>
        <v>0</v>
      </c>
      <c r="O89">
        <f t="shared" si="9"/>
        <v>1</v>
      </c>
      <c r="P89">
        <f t="shared" si="10"/>
        <v>1</v>
      </c>
      <c r="Q89">
        <f t="shared" si="11"/>
        <v>1</v>
      </c>
      <c r="R89">
        <f t="shared" si="12"/>
        <v>1</v>
      </c>
      <c r="S89">
        <f t="shared" si="14"/>
        <v>2</v>
      </c>
      <c r="T89">
        <f>IF(Table2[[#This Row],[Access 2023]]="Hard to reach", 4, IF(Table2[[#This Row],[Access 2023]]="Partially Accessible", 3, 2))</f>
        <v>4</v>
      </c>
      <c r="U89">
        <v>2</v>
      </c>
      <c r="W89">
        <f>SUM(Table2[[#This Row],[PIN Score]],Table2[[#This Row],[Response 2023 Score]],Table2[[#This Row],[Neglected Locality Percentage Response]],Table2[[#This Row],[Security and Access]])</f>
        <v>8</v>
      </c>
      <c r="X89">
        <f t="shared" si="13"/>
        <v>5</v>
      </c>
    </row>
    <row r="90" spans="1:24" ht="27.6" x14ac:dyDescent="0.55000000000000004">
      <c r="A90" s="82" t="s">
        <v>449</v>
      </c>
      <c r="B90" s="81" t="s">
        <v>509</v>
      </c>
      <c r="C90" s="81" t="s">
        <v>339</v>
      </c>
      <c r="D90" s="76" t="s">
        <v>149</v>
      </c>
      <c r="E90" s="77">
        <v>148710</v>
      </c>
      <c r="F90" s="78">
        <v>0</v>
      </c>
      <c r="G90" s="78"/>
      <c r="H90" s="78" t="s">
        <v>520</v>
      </c>
      <c r="I90" s="78">
        <v>0</v>
      </c>
      <c r="J90" s="78">
        <v>0</v>
      </c>
      <c r="K90">
        <v>0</v>
      </c>
      <c r="L90">
        <f>SUM(Table2[[#This Row],[2021 Reach]:[2023 Reach]])*5</f>
        <v>0</v>
      </c>
      <c r="M90">
        <f>Table2[[#This Row],[2023 Reach]]*5</f>
        <v>0</v>
      </c>
      <c r="N90" s="79">
        <f>IFERROR(Table2[[#This Row],[2023 Reach People]]/Table2[[#This Row],[2023 Affected People]],0)</f>
        <v>0</v>
      </c>
      <c r="O90">
        <f t="shared" si="9"/>
        <v>0</v>
      </c>
      <c r="P90">
        <f t="shared" si="10"/>
        <v>1</v>
      </c>
      <c r="Q90">
        <f t="shared" si="11"/>
        <v>1</v>
      </c>
      <c r="R90">
        <f t="shared" si="12"/>
        <v>1</v>
      </c>
      <c r="S90">
        <f t="shared" si="14"/>
        <v>2</v>
      </c>
      <c r="T90">
        <f>IF(Table2[[#This Row],[Access 2023]]="Hard to reach", 4, IF(Table2[[#This Row],[Access 2023]]="Partially Accessible", 3, 2))</f>
        <v>4</v>
      </c>
      <c r="U90">
        <v>2</v>
      </c>
      <c r="W90">
        <f>SUM(Table2[[#This Row],[PIN Score]],Table2[[#This Row],[Response 2023 Score]],Table2[[#This Row],[Neglected Locality Percentage Response]],Table2[[#This Row],[Security and Access]])</f>
        <v>7</v>
      </c>
      <c r="X90">
        <f t="shared" si="13"/>
        <v>4</v>
      </c>
    </row>
    <row r="91" spans="1:24" x14ac:dyDescent="0.55000000000000004">
      <c r="A91" s="82" t="s">
        <v>449</v>
      </c>
      <c r="B91" s="81" t="s">
        <v>509</v>
      </c>
      <c r="C91" s="81" t="s">
        <v>340</v>
      </c>
      <c r="D91" s="76" t="s">
        <v>150</v>
      </c>
      <c r="E91" s="77">
        <v>88604</v>
      </c>
      <c r="F91" s="78">
        <v>36262</v>
      </c>
      <c r="G91" s="78"/>
      <c r="H91" s="78" t="s">
        <v>521</v>
      </c>
      <c r="I91" s="78">
        <v>0</v>
      </c>
      <c r="J91" s="78">
        <v>0</v>
      </c>
      <c r="K91">
        <v>0</v>
      </c>
      <c r="L91">
        <f>SUM(Table2[[#This Row],[2021 Reach]:[2023 Reach]])*5</f>
        <v>0</v>
      </c>
      <c r="M91">
        <f>Table2[[#This Row],[2023 Reach]]*5</f>
        <v>0</v>
      </c>
      <c r="N91" s="79">
        <f>IFERROR(Table2[[#This Row],[2023 Reach People]]/Table2[[#This Row],[2023 Affected People]],0)</f>
        <v>0</v>
      </c>
      <c r="O91">
        <f t="shared" si="9"/>
        <v>1</v>
      </c>
      <c r="P91">
        <f t="shared" si="10"/>
        <v>1</v>
      </c>
      <c r="Q91">
        <f t="shared" si="11"/>
        <v>1</v>
      </c>
      <c r="R91">
        <f t="shared" si="12"/>
        <v>1</v>
      </c>
      <c r="S91">
        <f t="shared" si="14"/>
        <v>2</v>
      </c>
      <c r="T91">
        <f>IF(Table2[[#This Row],[Access 2023]]="Hard to reach", 4, IF(Table2[[#This Row],[Access 2023]]="Partially Accessible", 3, 2))</f>
        <v>2</v>
      </c>
      <c r="U91">
        <v>2</v>
      </c>
      <c r="W91">
        <f>SUM(Table2[[#This Row],[PIN Score]],Table2[[#This Row],[Response 2023 Score]],Table2[[#This Row],[Neglected Locality Percentage Response]],Table2[[#This Row],[Security and Access]])</f>
        <v>6</v>
      </c>
      <c r="X91">
        <f t="shared" si="13"/>
        <v>3</v>
      </c>
    </row>
    <row r="92" spans="1:24" x14ac:dyDescent="0.55000000000000004">
      <c r="A92" s="82" t="s">
        <v>450</v>
      </c>
      <c r="B92" s="81" t="s">
        <v>510</v>
      </c>
      <c r="C92" s="81" t="s">
        <v>341</v>
      </c>
      <c r="D92" s="76" t="s">
        <v>151</v>
      </c>
      <c r="E92" s="77">
        <v>89520</v>
      </c>
      <c r="F92" s="78">
        <v>71628</v>
      </c>
      <c r="G92" s="78"/>
      <c r="H92" s="78" t="s">
        <v>521</v>
      </c>
      <c r="I92" s="78">
        <v>0</v>
      </c>
      <c r="J92" s="78">
        <v>0</v>
      </c>
      <c r="K92">
        <v>0</v>
      </c>
      <c r="L92">
        <f>SUM(Table2[[#This Row],[2021 Reach]:[2023 Reach]])*5</f>
        <v>0</v>
      </c>
      <c r="M92">
        <f>Table2[[#This Row],[2023 Reach]]*5</f>
        <v>0</v>
      </c>
      <c r="N92" s="79">
        <f>IFERROR(Table2[[#This Row],[2023 Reach People]]/Table2[[#This Row],[2023 Affected People]],0)</f>
        <v>0</v>
      </c>
      <c r="O92">
        <f t="shared" si="9"/>
        <v>1</v>
      </c>
      <c r="P92">
        <f t="shared" si="10"/>
        <v>1</v>
      </c>
      <c r="Q92">
        <f t="shared" si="11"/>
        <v>1</v>
      </c>
      <c r="R92">
        <f t="shared" si="12"/>
        <v>1</v>
      </c>
      <c r="S92">
        <f t="shared" si="14"/>
        <v>2</v>
      </c>
      <c r="T92">
        <f>IF(Table2[[#This Row],[Access 2023]]="Hard to reach", 4, IF(Table2[[#This Row],[Access 2023]]="Partially Accessible", 3, 2))</f>
        <v>2</v>
      </c>
      <c r="U92">
        <v>4</v>
      </c>
      <c r="W92">
        <f>SUM(Table2[[#This Row],[PIN Score]],Table2[[#This Row],[Response 2023 Score]],Table2[[#This Row],[Neglected Locality Percentage Response]],Table2[[#This Row],[Security and Access]])</f>
        <v>6</v>
      </c>
      <c r="X92">
        <f t="shared" si="13"/>
        <v>3</v>
      </c>
    </row>
    <row r="93" spans="1:24" x14ac:dyDescent="0.55000000000000004">
      <c r="A93" s="82" t="s">
        <v>450</v>
      </c>
      <c r="B93" s="81" t="s">
        <v>510</v>
      </c>
      <c r="C93" s="81" t="s">
        <v>342</v>
      </c>
      <c r="D93" s="76" t="s">
        <v>152</v>
      </c>
      <c r="E93" s="77">
        <v>184252</v>
      </c>
      <c r="F93" s="78">
        <v>26581</v>
      </c>
      <c r="G93" s="78"/>
      <c r="H93" s="78" t="s">
        <v>521</v>
      </c>
      <c r="I93" s="78">
        <v>0</v>
      </c>
      <c r="J93" s="78">
        <v>0</v>
      </c>
      <c r="K93">
        <v>0</v>
      </c>
      <c r="L93">
        <f>SUM(Table2[[#This Row],[2021 Reach]:[2023 Reach]])*5</f>
        <v>0</v>
      </c>
      <c r="M93">
        <f>Table2[[#This Row],[2023 Reach]]*5</f>
        <v>0</v>
      </c>
      <c r="N93" s="79">
        <f>IFERROR(Table2[[#This Row],[2023 Reach People]]/Table2[[#This Row],[2023 Affected People]],0)</f>
        <v>0</v>
      </c>
      <c r="O93">
        <f t="shared" si="9"/>
        <v>1</v>
      </c>
      <c r="P93">
        <f t="shared" si="10"/>
        <v>1</v>
      </c>
      <c r="Q93">
        <f t="shared" si="11"/>
        <v>1</v>
      </c>
      <c r="R93">
        <f t="shared" si="12"/>
        <v>1</v>
      </c>
      <c r="S93">
        <f t="shared" si="14"/>
        <v>2</v>
      </c>
      <c r="T93">
        <f>IF(Table2[[#This Row],[Access 2023]]="Hard to reach", 4, IF(Table2[[#This Row],[Access 2023]]="Partially Accessible", 3, 2))</f>
        <v>2</v>
      </c>
      <c r="U93">
        <v>3</v>
      </c>
      <c r="W93">
        <f>SUM(Table2[[#This Row],[PIN Score]],Table2[[#This Row],[Response 2023 Score]],Table2[[#This Row],[Neglected Locality Percentage Response]],Table2[[#This Row],[Security and Access]])</f>
        <v>6</v>
      </c>
      <c r="X93">
        <f t="shared" si="13"/>
        <v>3</v>
      </c>
    </row>
    <row r="94" spans="1:24" x14ac:dyDescent="0.55000000000000004">
      <c r="A94" s="82" t="s">
        <v>450</v>
      </c>
      <c r="B94" s="81" t="s">
        <v>510</v>
      </c>
      <c r="C94" s="81" t="s">
        <v>343</v>
      </c>
      <c r="D94" s="76" t="s">
        <v>153</v>
      </c>
      <c r="E94" s="77">
        <v>191732</v>
      </c>
      <c r="F94" s="78">
        <v>24186</v>
      </c>
      <c r="G94" s="78"/>
      <c r="H94" s="78" t="s">
        <v>521</v>
      </c>
      <c r="I94" s="78">
        <v>0</v>
      </c>
      <c r="J94" s="78">
        <v>0</v>
      </c>
      <c r="K94">
        <v>0</v>
      </c>
      <c r="L94">
        <f>SUM(Table2[[#This Row],[2021 Reach]:[2023 Reach]])*5</f>
        <v>0</v>
      </c>
      <c r="M94">
        <f>Table2[[#This Row],[2023 Reach]]*5</f>
        <v>0</v>
      </c>
      <c r="N94" s="79">
        <f>IFERROR(Table2[[#This Row],[2023 Reach People]]/Table2[[#This Row],[2023 Affected People]],0)</f>
        <v>0</v>
      </c>
      <c r="O94">
        <f t="shared" si="9"/>
        <v>1</v>
      </c>
      <c r="P94">
        <f t="shared" si="10"/>
        <v>1</v>
      </c>
      <c r="Q94">
        <f t="shared" si="11"/>
        <v>1</v>
      </c>
      <c r="R94">
        <f t="shared" si="12"/>
        <v>1</v>
      </c>
      <c r="S94">
        <f t="shared" si="14"/>
        <v>2</v>
      </c>
      <c r="T94">
        <f>IF(Table2[[#This Row],[Access 2023]]="Hard to reach", 4, IF(Table2[[#This Row],[Access 2023]]="Partially Accessible", 3, 2))</f>
        <v>2</v>
      </c>
      <c r="U94">
        <v>3</v>
      </c>
      <c r="W94">
        <f>SUM(Table2[[#This Row],[PIN Score]],Table2[[#This Row],[Response 2023 Score]],Table2[[#This Row],[Neglected Locality Percentage Response]],Table2[[#This Row],[Security and Access]])</f>
        <v>6</v>
      </c>
      <c r="X94">
        <f t="shared" si="13"/>
        <v>3</v>
      </c>
    </row>
    <row r="95" spans="1:24" x14ac:dyDescent="0.55000000000000004">
      <c r="A95" s="82" t="s">
        <v>450</v>
      </c>
      <c r="B95" s="81" t="s">
        <v>510</v>
      </c>
      <c r="C95" s="81" t="s">
        <v>344</v>
      </c>
      <c r="D95" s="76" t="s">
        <v>154</v>
      </c>
      <c r="E95" s="77">
        <v>202260</v>
      </c>
      <c r="F95" s="78">
        <v>26856</v>
      </c>
      <c r="G95" s="78"/>
      <c r="H95" s="78" t="s">
        <v>521</v>
      </c>
      <c r="I95" s="78">
        <v>0</v>
      </c>
      <c r="J95" s="78">
        <v>0</v>
      </c>
      <c r="K95">
        <v>0</v>
      </c>
      <c r="L95">
        <f>SUM(Table2[[#This Row],[2021 Reach]:[2023 Reach]])*5</f>
        <v>0</v>
      </c>
      <c r="M95">
        <f>Table2[[#This Row],[2023 Reach]]*5</f>
        <v>0</v>
      </c>
      <c r="N95" s="79">
        <f>IFERROR(Table2[[#This Row],[2023 Reach People]]/Table2[[#This Row],[2023 Affected People]],0)</f>
        <v>0</v>
      </c>
      <c r="O95">
        <f t="shared" si="9"/>
        <v>1</v>
      </c>
      <c r="P95">
        <f t="shared" si="10"/>
        <v>1</v>
      </c>
      <c r="Q95">
        <f t="shared" si="11"/>
        <v>1</v>
      </c>
      <c r="R95">
        <f t="shared" si="12"/>
        <v>1</v>
      </c>
      <c r="S95">
        <f t="shared" si="14"/>
        <v>2</v>
      </c>
      <c r="T95">
        <f>IF(Table2[[#This Row],[Access 2023]]="Hard to reach", 4, IF(Table2[[#This Row],[Access 2023]]="Partially Accessible", 3, 2))</f>
        <v>2</v>
      </c>
      <c r="U95">
        <v>3</v>
      </c>
      <c r="W95">
        <f>SUM(Table2[[#This Row],[PIN Score]],Table2[[#This Row],[Response 2023 Score]],Table2[[#This Row],[Neglected Locality Percentage Response]],Table2[[#This Row],[Security and Access]])</f>
        <v>6</v>
      </c>
      <c r="X95">
        <f t="shared" si="13"/>
        <v>3</v>
      </c>
    </row>
    <row r="96" spans="1:24" x14ac:dyDescent="0.55000000000000004">
      <c r="A96" s="82" t="s">
        <v>450</v>
      </c>
      <c r="B96" s="81" t="s">
        <v>510</v>
      </c>
      <c r="C96" s="81" t="s">
        <v>345</v>
      </c>
      <c r="D96" s="76" t="s">
        <v>155</v>
      </c>
      <c r="E96" s="77">
        <v>207242</v>
      </c>
      <c r="F96" s="78">
        <v>46059</v>
      </c>
      <c r="G96" s="78"/>
      <c r="H96" s="78" t="s">
        <v>521</v>
      </c>
      <c r="I96" s="78">
        <v>0</v>
      </c>
      <c r="J96" s="78">
        <v>0</v>
      </c>
      <c r="K96">
        <v>468</v>
      </c>
      <c r="L96">
        <f>SUM(Table2[[#This Row],[2021 Reach]:[2023 Reach]])*5</f>
        <v>2340</v>
      </c>
      <c r="M96">
        <f>Table2[[#This Row],[2023 Reach]]*5</f>
        <v>2340</v>
      </c>
      <c r="N96" s="79">
        <f>IFERROR(Table2[[#This Row],[2023 Reach People]]/Table2[[#This Row],[2023 Affected People]],0)</f>
        <v>1.1291147547311838E-2</v>
      </c>
      <c r="O96">
        <f t="shared" si="9"/>
        <v>1</v>
      </c>
      <c r="P96">
        <f t="shared" si="10"/>
        <v>1</v>
      </c>
      <c r="Q96">
        <f t="shared" si="11"/>
        <v>1</v>
      </c>
      <c r="R96">
        <f t="shared" si="12"/>
        <v>0</v>
      </c>
      <c r="S96">
        <f t="shared" si="14"/>
        <v>1</v>
      </c>
      <c r="T96">
        <f>IF(Table2[[#This Row],[Access 2023]]="Hard to reach", 4, IF(Table2[[#This Row],[Access 2023]]="Partially Accessible", 3, 2))</f>
        <v>2</v>
      </c>
      <c r="U96">
        <v>3</v>
      </c>
      <c r="W96">
        <f>SUM(Table2[[#This Row],[PIN Score]],Table2[[#This Row],[Response 2023 Score]],Table2[[#This Row],[Neglected Locality Percentage Response]],Table2[[#This Row],[Security and Access]])</f>
        <v>4</v>
      </c>
      <c r="X96">
        <f t="shared" si="13"/>
        <v>1</v>
      </c>
    </row>
    <row r="97" spans="1:24" x14ac:dyDescent="0.55000000000000004">
      <c r="A97" s="82" t="s">
        <v>450</v>
      </c>
      <c r="B97" s="81" t="s">
        <v>510</v>
      </c>
      <c r="C97" s="81" t="s">
        <v>346</v>
      </c>
      <c r="D97" s="76" t="s">
        <v>156</v>
      </c>
      <c r="E97" s="77">
        <v>93656</v>
      </c>
      <c r="F97" s="78">
        <v>36312</v>
      </c>
      <c r="G97" s="78"/>
      <c r="H97" s="78" t="s">
        <v>521</v>
      </c>
      <c r="I97" s="78">
        <v>0</v>
      </c>
      <c r="J97" s="78">
        <v>0</v>
      </c>
      <c r="K97">
        <v>1550</v>
      </c>
      <c r="L97">
        <f>SUM(Table2[[#This Row],[2021 Reach]:[2023 Reach]])*5</f>
        <v>7750</v>
      </c>
      <c r="M97">
        <f>Table2[[#This Row],[2023 Reach]]*5</f>
        <v>7750</v>
      </c>
      <c r="N97" s="79">
        <f>IFERROR(Table2[[#This Row],[2023 Reach People]]/Table2[[#This Row],[2023 Affected People]],0)</f>
        <v>8.2749636969334586E-2</v>
      </c>
      <c r="O97">
        <f t="shared" si="9"/>
        <v>1</v>
      </c>
      <c r="P97">
        <f t="shared" si="10"/>
        <v>1</v>
      </c>
      <c r="Q97">
        <f t="shared" si="11"/>
        <v>1</v>
      </c>
      <c r="R97">
        <f t="shared" si="12"/>
        <v>0</v>
      </c>
      <c r="S97">
        <f t="shared" si="14"/>
        <v>1</v>
      </c>
      <c r="T97">
        <f>IF(Table2[[#This Row],[Access 2023]]="Hard to reach", 4, IF(Table2[[#This Row],[Access 2023]]="Partially Accessible", 3, 2))</f>
        <v>2</v>
      </c>
      <c r="U97">
        <v>4</v>
      </c>
      <c r="W97">
        <f>SUM(Table2[[#This Row],[PIN Score]],Table2[[#This Row],[Response 2023 Score]],Table2[[#This Row],[Neglected Locality Percentage Response]],Table2[[#This Row],[Security and Access]])</f>
        <v>4</v>
      </c>
      <c r="X97">
        <f t="shared" si="13"/>
        <v>1</v>
      </c>
    </row>
    <row r="98" spans="1:24" x14ac:dyDescent="0.55000000000000004">
      <c r="A98" s="82" t="s">
        <v>450</v>
      </c>
      <c r="B98" s="81" t="s">
        <v>510</v>
      </c>
      <c r="C98" s="81" t="s">
        <v>347</v>
      </c>
      <c r="D98" s="76" t="s">
        <v>157</v>
      </c>
      <c r="E98" s="77">
        <v>215983</v>
      </c>
      <c r="F98" s="78">
        <v>64726</v>
      </c>
      <c r="G98" s="78"/>
      <c r="H98" s="78" t="s">
        <v>521</v>
      </c>
      <c r="I98" s="78">
        <v>0</v>
      </c>
      <c r="J98" s="78">
        <v>0</v>
      </c>
      <c r="K98">
        <v>0</v>
      </c>
      <c r="L98">
        <f>SUM(Table2[[#This Row],[2021 Reach]:[2023 Reach]])*5</f>
        <v>0</v>
      </c>
      <c r="M98">
        <f>Table2[[#This Row],[2023 Reach]]*5</f>
        <v>0</v>
      </c>
      <c r="N98" s="79">
        <f>IFERROR(Table2[[#This Row],[2023 Reach People]]/Table2[[#This Row],[2023 Affected People]],0)</f>
        <v>0</v>
      </c>
      <c r="O98">
        <f t="shared" si="9"/>
        <v>1</v>
      </c>
      <c r="P98">
        <f t="shared" ref="P98:P129" si="15">IF(I98=0,1,0)</f>
        <v>1</v>
      </c>
      <c r="Q98">
        <f t="shared" ref="Q98:Q129" si="16">IF(J98=0,1,0)</f>
        <v>1</v>
      </c>
      <c r="R98">
        <f t="shared" si="12"/>
        <v>1</v>
      </c>
      <c r="S98">
        <f t="shared" si="14"/>
        <v>2</v>
      </c>
      <c r="T98">
        <f>IF(Table2[[#This Row],[Access 2023]]="Hard to reach", 4, IF(Table2[[#This Row],[Access 2023]]="Partially Accessible", 3, 2))</f>
        <v>2</v>
      </c>
      <c r="U98">
        <v>4</v>
      </c>
      <c r="W98">
        <f>SUM(Table2[[#This Row],[PIN Score]],Table2[[#This Row],[Response 2023 Score]],Table2[[#This Row],[Neglected Locality Percentage Response]],Table2[[#This Row],[Security and Access]])</f>
        <v>6</v>
      </c>
      <c r="X98">
        <f t="shared" ref="X98:X129" si="17">IF(W98&lt;=4, 1, IF(W98&lt;6, 2, IF(W98&lt;7, 3, IF(W98&lt;8, 4, 5))))</f>
        <v>3</v>
      </c>
    </row>
    <row r="99" spans="1:24" x14ac:dyDescent="0.55000000000000004">
      <c r="A99" s="82" t="s">
        <v>451</v>
      </c>
      <c r="B99" s="81" t="s">
        <v>511</v>
      </c>
      <c r="C99" s="81" t="s">
        <v>348</v>
      </c>
      <c r="D99" s="76" t="s">
        <v>158</v>
      </c>
      <c r="E99" s="77">
        <v>142434</v>
      </c>
      <c r="F99" s="78">
        <v>7940</v>
      </c>
      <c r="G99" s="78"/>
      <c r="H99" s="78" t="s">
        <v>521</v>
      </c>
      <c r="I99" s="78">
        <v>0</v>
      </c>
      <c r="J99" s="78">
        <v>1435</v>
      </c>
      <c r="K99">
        <v>0</v>
      </c>
      <c r="L99">
        <f>SUM(Table2[[#This Row],[2021 Reach]:[2023 Reach]])*5</f>
        <v>7175</v>
      </c>
      <c r="M99">
        <f>Table2[[#This Row],[2023 Reach]]*5</f>
        <v>0</v>
      </c>
      <c r="N99" s="79">
        <f>IFERROR(Table2[[#This Row],[2023 Reach People]]/Table2[[#This Row],[2023 Affected People]],0)</f>
        <v>0</v>
      </c>
      <c r="O99">
        <f t="shared" si="9"/>
        <v>1</v>
      </c>
      <c r="P99">
        <f t="shared" si="15"/>
        <v>1</v>
      </c>
      <c r="Q99">
        <f t="shared" si="16"/>
        <v>0</v>
      </c>
      <c r="R99">
        <f t="shared" si="12"/>
        <v>1</v>
      </c>
      <c r="S99">
        <f t="shared" si="14"/>
        <v>2</v>
      </c>
      <c r="T99">
        <f>IF(Table2[[#This Row],[Access 2023]]="Hard to reach", 4, IF(Table2[[#This Row],[Access 2023]]="Partially Accessible", 3, 2))</f>
        <v>2</v>
      </c>
      <c r="U99">
        <v>1</v>
      </c>
      <c r="W99">
        <f>SUM(Table2[[#This Row],[PIN Score]],Table2[[#This Row],[Response 2023 Score]],Table2[[#This Row],[Neglected Locality Percentage Response]],Table2[[#This Row],[Security and Access]])</f>
        <v>6</v>
      </c>
      <c r="X99">
        <f t="shared" si="17"/>
        <v>3</v>
      </c>
    </row>
    <row r="100" spans="1:24" x14ac:dyDescent="0.55000000000000004">
      <c r="A100" s="82" t="s">
        <v>451</v>
      </c>
      <c r="B100" s="81" t="s">
        <v>511</v>
      </c>
      <c r="C100" s="81" t="s">
        <v>349</v>
      </c>
      <c r="D100" s="76" t="s">
        <v>159</v>
      </c>
      <c r="E100" s="77">
        <v>95494</v>
      </c>
      <c r="F100" s="78">
        <v>10547</v>
      </c>
      <c r="G100" s="78"/>
      <c r="H100" s="78" t="s">
        <v>521</v>
      </c>
      <c r="I100" s="78">
        <v>0</v>
      </c>
      <c r="J100" s="78">
        <v>0</v>
      </c>
      <c r="K100">
        <v>0</v>
      </c>
      <c r="L100">
        <f>SUM(Table2[[#This Row],[2021 Reach]:[2023 Reach]])*5</f>
        <v>0</v>
      </c>
      <c r="M100">
        <f>Table2[[#This Row],[2023 Reach]]*5</f>
        <v>0</v>
      </c>
      <c r="N100" s="79">
        <f>IFERROR(Table2[[#This Row],[2023 Reach People]]/Table2[[#This Row],[2023 Affected People]],0)</f>
        <v>0</v>
      </c>
      <c r="O100">
        <f t="shared" si="9"/>
        <v>1</v>
      </c>
      <c r="P100">
        <f t="shared" si="15"/>
        <v>1</v>
      </c>
      <c r="Q100">
        <f t="shared" si="16"/>
        <v>1</v>
      </c>
      <c r="R100">
        <f t="shared" si="12"/>
        <v>1</v>
      </c>
      <c r="S100">
        <f t="shared" si="14"/>
        <v>2</v>
      </c>
      <c r="T100">
        <f>IF(Table2[[#This Row],[Access 2023]]="Hard to reach", 4, IF(Table2[[#This Row],[Access 2023]]="Partially Accessible", 3, 2))</f>
        <v>2</v>
      </c>
      <c r="U100">
        <v>1</v>
      </c>
      <c r="W100">
        <f>SUM(Table2[[#This Row],[PIN Score]],Table2[[#This Row],[Response 2023 Score]],Table2[[#This Row],[Neglected Locality Percentage Response]],Table2[[#This Row],[Security and Access]])</f>
        <v>6</v>
      </c>
      <c r="X100">
        <f t="shared" si="17"/>
        <v>3</v>
      </c>
    </row>
    <row r="101" spans="1:24" x14ac:dyDescent="0.55000000000000004">
      <c r="A101" s="82" t="s">
        <v>451</v>
      </c>
      <c r="B101" s="81" t="s">
        <v>511</v>
      </c>
      <c r="C101" s="81" t="s">
        <v>350</v>
      </c>
      <c r="D101" s="76" t="s">
        <v>160</v>
      </c>
      <c r="E101" s="77">
        <v>94774</v>
      </c>
      <c r="F101" s="78">
        <v>0</v>
      </c>
      <c r="G101" s="78"/>
      <c r="H101" s="78" t="s">
        <v>521</v>
      </c>
      <c r="I101" s="78">
        <v>0</v>
      </c>
      <c r="J101" s="78">
        <v>0</v>
      </c>
      <c r="K101">
        <v>0</v>
      </c>
      <c r="L101">
        <f>SUM(Table2[[#This Row],[2021 Reach]:[2023 Reach]])*5</f>
        <v>0</v>
      </c>
      <c r="M101">
        <f>Table2[[#This Row],[2023 Reach]]*5</f>
        <v>0</v>
      </c>
      <c r="N101" s="79">
        <f>IFERROR(Table2[[#This Row],[2023 Reach People]]/Table2[[#This Row],[2023 Affected People]],0)</f>
        <v>0</v>
      </c>
      <c r="O101">
        <f t="shared" si="9"/>
        <v>0</v>
      </c>
      <c r="P101">
        <f t="shared" si="15"/>
        <v>1</v>
      </c>
      <c r="Q101">
        <f t="shared" si="16"/>
        <v>1</v>
      </c>
      <c r="R101">
        <f t="shared" si="12"/>
        <v>1</v>
      </c>
      <c r="S101">
        <f t="shared" si="14"/>
        <v>2</v>
      </c>
      <c r="T101">
        <f>IF(Table2[[#This Row],[Access 2023]]="Hard to reach", 4, IF(Table2[[#This Row],[Access 2023]]="Partially Accessible", 3, 2))</f>
        <v>2</v>
      </c>
      <c r="U101">
        <v>1</v>
      </c>
      <c r="W101">
        <f>SUM(Table2[[#This Row],[PIN Score]],Table2[[#This Row],[Response 2023 Score]],Table2[[#This Row],[Neglected Locality Percentage Response]],Table2[[#This Row],[Security and Access]])</f>
        <v>5</v>
      </c>
      <c r="X101">
        <f t="shared" si="17"/>
        <v>2</v>
      </c>
    </row>
    <row r="102" spans="1:24" x14ac:dyDescent="0.55000000000000004">
      <c r="A102" s="82" t="s">
        <v>451</v>
      </c>
      <c r="B102" s="81" t="s">
        <v>511</v>
      </c>
      <c r="C102" s="81" t="s">
        <v>351</v>
      </c>
      <c r="D102" s="76" t="s">
        <v>161</v>
      </c>
      <c r="E102" s="77">
        <v>150085</v>
      </c>
      <c r="F102" s="78">
        <v>3209</v>
      </c>
      <c r="G102" s="78"/>
      <c r="H102" s="78" t="s">
        <v>521</v>
      </c>
      <c r="I102" s="78">
        <v>0</v>
      </c>
      <c r="J102" s="78">
        <v>0</v>
      </c>
      <c r="K102">
        <v>0</v>
      </c>
      <c r="L102">
        <f>SUM(Table2[[#This Row],[2021 Reach]:[2023 Reach]])*5</f>
        <v>0</v>
      </c>
      <c r="M102">
        <f>Table2[[#This Row],[2023 Reach]]*5</f>
        <v>0</v>
      </c>
      <c r="N102" s="79">
        <f>IFERROR(Table2[[#This Row],[2023 Reach People]]/Table2[[#This Row],[2023 Affected People]],0)</f>
        <v>0</v>
      </c>
      <c r="O102">
        <f t="shared" si="9"/>
        <v>1</v>
      </c>
      <c r="P102">
        <f t="shared" si="15"/>
        <v>1</v>
      </c>
      <c r="Q102">
        <f t="shared" si="16"/>
        <v>1</v>
      </c>
      <c r="R102">
        <f t="shared" si="12"/>
        <v>1</v>
      </c>
      <c r="S102">
        <f t="shared" si="14"/>
        <v>2</v>
      </c>
      <c r="T102">
        <f>IF(Table2[[#This Row],[Access 2023]]="Hard to reach", 4, IF(Table2[[#This Row],[Access 2023]]="Partially Accessible", 3, 2))</f>
        <v>2</v>
      </c>
      <c r="U102">
        <v>1</v>
      </c>
      <c r="W102">
        <f>SUM(Table2[[#This Row],[PIN Score]],Table2[[#This Row],[Response 2023 Score]],Table2[[#This Row],[Neglected Locality Percentage Response]],Table2[[#This Row],[Security and Access]])</f>
        <v>6</v>
      </c>
      <c r="X102">
        <f t="shared" si="17"/>
        <v>3</v>
      </c>
    </row>
    <row r="103" spans="1:24" x14ac:dyDescent="0.55000000000000004">
      <c r="A103" s="82" t="s">
        <v>451</v>
      </c>
      <c r="B103" s="81" t="s">
        <v>511</v>
      </c>
      <c r="C103" s="81" t="s">
        <v>352</v>
      </c>
      <c r="D103" s="76" t="s">
        <v>162</v>
      </c>
      <c r="E103" s="77">
        <v>14202</v>
      </c>
      <c r="F103" s="78">
        <v>29121</v>
      </c>
      <c r="G103" s="78"/>
      <c r="H103" s="78" t="s">
        <v>521</v>
      </c>
      <c r="I103" s="78">
        <v>0</v>
      </c>
      <c r="J103" s="78">
        <v>0</v>
      </c>
      <c r="K103">
        <v>0</v>
      </c>
      <c r="L103">
        <f>SUM(Table2[[#This Row],[2021 Reach]:[2023 Reach]])*5</f>
        <v>0</v>
      </c>
      <c r="M103">
        <f>Table2[[#This Row],[2023 Reach]]*5</f>
        <v>0</v>
      </c>
      <c r="N103" s="79">
        <f>IFERROR(Table2[[#This Row],[2023 Reach People]]/Table2[[#This Row],[2023 Affected People]],0)</f>
        <v>0</v>
      </c>
      <c r="O103">
        <f t="shared" si="9"/>
        <v>1</v>
      </c>
      <c r="P103">
        <f t="shared" si="15"/>
        <v>1</v>
      </c>
      <c r="Q103">
        <f t="shared" si="16"/>
        <v>1</v>
      </c>
      <c r="R103">
        <f t="shared" si="12"/>
        <v>1</v>
      </c>
      <c r="S103">
        <f t="shared" si="14"/>
        <v>2</v>
      </c>
      <c r="T103">
        <f>IF(Table2[[#This Row],[Access 2023]]="Hard to reach", 4, IF(Table2[[#This Row],[Access 2023]]="Partially Accessible", 3, 2))</f>
        <v>2</v>
      </c>
      <c r="U103">
        <v>2</v>
      </c>
      <c r="W103">
        <f>SUM(Table2[[#This Row],[PIN Score]],Table2[[#This Row],[Response 2023 Score]],Table2[[#This Row],[Neglected Locality Percentage Response]],Table2[[#This Row],[Security and Access]])</f>
        <v>6</v>
      </c>
      <c r="X103">
        <f t="shared" si="17"/>
        <v>3</v>
      </c>
    </row>
    <row r="104" spans="1:24" ht="27.6" x14ac:dyDescent="0.55000000000000004">
      <c r="A104" s="82" t="s">
        <v>451</v>
      </c>
      <c r="B104" s="81" t="s">
        <v>511</v>
      </c>
      <c r="C104" s="81" t="s">
        <v>353</v>
      </c>
      <c r="D104" s="76" t="s">
        <v>163</v>
      </c>
      <c r="E104" s="77">
        <v>87585</v>
      </c>
      <c r="F104" s="78">
        <v>0</v>
      </c>
      <c r="G104" s="78"/>
      <c r="H104" s="78" t="s">
        <v>521</v>
      </c>
      <c r="I104" s="78">
        <v>0</v>
      </c>
      <c r="J104" s="78">
        <v>0</v>
      </c>
      <c r="K104">
        <v>0</v>
      </c>
      <c r="L104">
        <f>SUM(Table2[[#This Row],[2021 Reach]:[2023 Reach]])*5</f>
        <v>0</v>
      </c>
      <c r="M104">
        <f>Table2[[#This Row],[2023 Reach]]*5</f>
        <v>0</v>
      </c>
      <c r="N104" s="79">
        <f>IFERROR(Table2[[#This Row],[2023 Reach People]]/Table2[[#This Row],[2023 Affected People]],0)</f>
        <v>0</v>
      </c>
      <c r="O104">
        <f t="shared" si="9"/>
        <v>0</v>
      </c>
      <c r="P104">
        <f t="shared" si="15"/>
        <v>1</v>
      </c>
      <c r="Q104">
        <f t="shared" si="16"/>
        <v>1</v>
      </c>
      <c r="R104">
        <f t="shared" si="12"/>
        <v>1</v>
      </c>
      <c r="S104">
        <f t="shared" si="14"/>
        <v>2</v>
      </c>
      <c r="T104">
        <f>IF(Table2[[#This Row],[Access 2023]]="Hard to reach", 4, IF(Table2[[#This Row],[Access 2023]]="Partially Accessible", 3, 2))</f>
        <v>2</v>
      </c>
      <c r="U104">
        <v>2</v>
      </c>
      <c r="W104">
        <f>SUM(Table2[[#This Row],[PIN Score]],Table2[[#This Row],[Response 2023 Score]],Table2[[#This Row],[Neglected Locality Percentage Response]],Table2[[#This Row],[Security and Access]])</f>
        <v>5</v>
      </c>
      <c r="X104">
        <f t="shared" si="17"/>
        <v>2</v>
      </c>
    </row>
    <row r="105" spans="1:24" x14ac:dyDescent="0.55000000000000004">
      <c r="A105" s="82" t="s">
        <v>451</v>
      </c>
      <c r="B105" s="81" t="s">
        <v>511</v>
      </c>
      <c r="C105" s="81" t="s">
        <v>354</v>
      </c>
      <c r="D105" s="76" t="s">
        <v>164</v>
      </c>
      <c r="E105" s="77">
        <v>129690</v>
      </c>
      <c r="F105" s="78">
        <v>108476</v>
      </c>
      <c r="G105" s="78"/>
      <c r="H105" s="78" t="s">
        <v>521</v>
      </c>
      <c r="I105" s="78">
        <v>1339</v>
      </c>
      <c r="J105" s="78">
        <v>0</v>
      </c>
      <c r="K105">
        <v>2113</v>
      </c>
      <c r="L105">
        <f>SUM(Table2[[#This Row],[2021 Reach]:[2023 Reach]])*5</f>
        <v>17260</v>
      </c>
      <c r="M105">
        <f>Table2[[#This Row],[2023 Reach]]*5</f>
        <v>10565</v>
      </c>
      <c r="N105" s="79">
        <f>IFERROR(Table2[[#This Row],[2023 Reach People]]/Table2[[#This Row],[2023 Affected People]],0)</f>
        <v>8.146348986043643E-2</v>
      </c>
      <c r="O105">
        <f t="shared" si="9"/>
        <v>2</v>
      </c>
      <c r="P105">
        <f t="shared" si="15"/>
        <v>0</v>
      </c>
      <c r="Q105">
        <f t="shared" si="16"/>
        <v>1</v>
      </c>
      <c r="R105">
        <f t="shared" si="12"/>
        <v>0</v>
      </c>
      <c r="S105">
        <f t="shared" si="14"/>
        <v>1</v>
      </c>
      <c r="T105">
        <f>IF(Table2[[#This Row],[Access 2023]]="Hard to reach", 4, IF(Table2[[#This Row],[Access 2023]]="Partially Accessible", 3, 2))</f>
        <v>2</v>
      </c>
      <c r="U105">
        <v>4</v>
      </c>
      <c r="W105">
        <f>SUM(Table2[[#This Row],[PIN Score]],Table2[[#This Row],[Response 2023 Score]],Table2[[#This Row],[Neglected Locality Percentage Response]],Table2[[#This Row],[Security and Access]])</f>
        <v>5</v>
      </c>
      <c r="X105">
        <f t="shared" si="17"/>
        <v>2</v>
      </c>
    </row>
    <row r="106" spans="1:24" x14ac:dyDescent="0.55000000000000004">
      <c r="A106" s="82" t="s">
        <v>451</v>
      </c>
      <c r="B106" s="81" t="s">
        <v>511</v>
      </c>
      <c r="C106" s="81" t="s">
        <v>355</v>
      </c>
      <c r="D106" s="76" t="s">
        <v>165</v>
      </c>
      <c r="E106" s="77">
        <v>49963</v>
      </c>
      <c r="F106" s="78">
        <v>0</v>
      </c>
      <c r="G106" s="78"/>
      <c r="H106" s="78" t="s">
        <v>521</v>
      </c>
      <c r="I106" s="78">
        <v>0</v>
      </c>
      <c r="J106" s="78">
        <v>0</v>
      </c>
      <c r="K106">
        <v>0</v>
      </c>
      <c r="L106">
        <f>SUM(Table2[[#This Row],[2021 Reach]:[2023 Reach]])*5</f>
        <v>0</v>
      </c>
      <c r="M106">
        <f>Table2[[#This Row],[2023 Reach]]*5</f>
        <v>0</v>
      </c>
      <c r="N106" s="79">
        <f>IFERROR(Table2[[#This Row],[2023 Reach People]]/Table2[[#This Row],[2023 Affected People]],0)</f>
        <v>0</v>
      </c>
      <c r="O106">
        <f t="shared" si="9"/>
        <v>0</v>
      </c>
      <c r="P106">
        <f t="shared" si="15"/>
        <v>1</v>
      </c>
      <c r="Q106">
        <f t="shared" si="16"/>
        <v>1</v>
      </c>
      <c r="R106">
        <f t="shared" si="12"/>
        <v>1</v>
      </c>
      <c r="S106">
        <f t="shared" si="14"/>
        <v>2</v>
      </c>
      <c r="T106">
        <f>IF(Table2[[#This Row],[Access 2023]]="Hard to reach", 4, IF(Table2[[#This Row],[Access 2023]]="Partially Accessible", 3, 2))</f>
        <v>2</v>
      </c>
      <c r="U106">
        <v>2</v>
      </c>
      <c r="W106">
        <f>SUM(Table2[[#This Row],[PIN Score]],Table2[[#This Row],[Response 2023 Score]],Table2[[#This Row],[Neglected Locality Percentage Response]],Table2[[#This Row],[Security and Access]])</f>
        <v>5</v>
      </c>
      <c r="X106">
        <f t="shared" si="17"/>
        <v>2</v>
      </c>
    </row>
    <row r="107" spans="1:24" x14ac:dyDescent="0.55000000000000004">
      <c r="A107" s="82" t="s">
        <v>451</v>
      </c>
      <c r="B107" s="81" t="s">
        <v>511</v>
      </c>
      <c r="C107" s="81" t="s">
        <v>356</v>
      </c>
      <c r="D107" s="76" t="s">
        <v>166</v>
      </c>
      <c r="E107" s="77">
        <v>67505</v>
      </c>
      <c r="F107" s="78">
        <v>0</v>
      </c>
      <c r="G107" s="78"/>
      <c r="H107" s="78" t="s">
        <v>521</v>
      </c>
      <c r="I107" s="78">
        <v>0</v>
      </c>
      <c r="J107" s="78">
        <v>0</v>
      </c>
      <c r="K107">
        <v>0</v>
      </c>
      <c r="L107">
        <f>SUM(Table2[[#This Row],[2021 Reach]:[2023 Reach]])*5</f>
        <v>0</v>
      </c>
      <c r="M107">
        <f>Table2[[#This Row],[2023 Reach]]*5</f>
        <v>0</v>
      </c>
      <c r="N107" s="79">
        <f>IFERROR(Table2[[#This Row],[2023 Reach People]]/Table2[[#This Row],[2023 Affected People]],0)</f>
        <v>0</v>
      </c>
      <c r="O107">
        <f t="shared" si="9"/>
        <v>0</v>
      </c>
      <c r="P107">
        <f t="shared" si="15"/>
        <v>1</v>
      </c>
      <c r="Q107">
        <f t="shared" si="16"/>
        <v>1</v>
      </c>
      <c r="R107">
        <f t="shared" si="12"/>
        <v>1</v>
      </c>
      <c r="S107">
        <f t="shared" si="14"/>
        <v>2</v>
      </c>
      <c r="T107">
        <f>IF(Table2[[#This Row],[Access 2023]]="Hard to reach", 4, IF(Table2[[#This Row],[Access 2023]]="Partially Accessible", 3, 2))</f>
        <v>2</v>
      </c>
      <c r="U107">
        <v>2</v>
      </c>
      <c r="W107">
        <f>SUM(Table2[[#This Row],[PIN Score]],Table2[[#This Row],[Response 2023 Score]],Table2[[#This Row],[Neglected Locality Percentage Response]],Table2[[#This Row],[Security and Access]])</f>
        <v>5</v>
      </c>
      <c r="X107">
        <f t="shared" si="17"/>
        <v>2</v>
      </c>
    </row>
    <row r="108" spans="1:24" x14ac:dyDescent="0.55000000000000004">
      <c r="A108" s="82" t="s">
        <v>451</v>
      </c>
      <c r="B108" s="81" t="s">
        <v>511</v>
      </c>
      <c r="C108" s="81" t="s">
        <v>357</v>
      </c>
      <c r="D108" s="76" t="s">
        <v>167</v>
      </c>
      <c r="E108" s="77">
        <v>92880.5</v>
      </c>
      <c r="F108" s="78">
        <v>0</v>
      </c>
      <c r="G108" s="78"/>
      <c r="H108" s="78" t="s">
        <v>521</v>
      </c>
      <c r="I108" s="78">
        <v>0</v>
      </c>
      <c r="J108" s="78">
        <v>565</v>
      </c>
      <c r="K108">
        <v>0</v>
      </c>
      <c r="L108">
        <f>SUM(Table2[[#This Row],[2021 Reach]:[2023 Reach]])*5</f>
        <v>2825</v>
      </c>
      <c r="M108">
        <f>Table2[[#This Row],[2023 Reach]]*5</f>
        <v>0</v>
      </c>
      <c r="N108" s="79">
        <f>IFERROR(Table2[[#This Row],[2023 Reach People]]/Table2[[#This Row],[2023 Affected People]],0)</f>
        <v>0</v>
      </c>
      <c r="O108">
        <f t="shared" si="9"/>
        <v>0</v>
      </c>
      <c r="P108">
        <f t="shared" si="15"/>
        <v>1</v>
      </c>
      <c r="Q108">
        <f t="shared" si="16"/>
        <v>0</v>
      </c>
      <c r="R108">
        <f t="shared" si="12"/>
        <v>1</v>
      </c>
      <c r="S108">
        <f t="shared" si="14"/>
        <v>2</v>
      </c>
      <c r="T108">
        <f>IF(Table2[[#This Row],[Access 2023]]="Hard to reach", 4, IF(Table2[[#This Row],[Access 2023]]="Partially Accessible", 3, 2))</f>
        <v>2</v>
      </c>
      <c r="U108">
        <v>2</v>
      </c>
      <c r="W108">
        <f>SUM(Table2[[#This Row],[PIN Score]],Table2[[#This Row],[Response 2023 Score]],Table2[[#This Row],[Neglected Locality Percentage Response]],Table2[[#This Row],[Security and Access]])</f>
        <v>5</v>
      </c>
      <c r="X108">
        <f t="shared" si="17"/>
        <v>2</v>
      </c>
    </row>
    <row r="109" spans="1:24" x14ac:dyDescent="0.55000000000000004">
      <c r="A109" s="82" t="s">
        <v>452</v>
      </c>
      <c r="B109" s="81" t="s">
        <v>512</v>
      </c>
      <c r="C109" s="81" t="s">
        <v>358</v>
      </c>
      <c r="D109" s="76" t="s">
        <v>168</v>
      </c>
      <c r="E109" s="77">
        <v>144070</v>
      </c>
      <c r="F109" s="78">
        <v>16860</v>
      </c>
      <c r="G109" s="78"/>
      <c r="H109" s="78" t="s">
        <v>521</v>
      </c>
      <c r="I109" s="78">
        <v>0</v>
      </c>
      <c r="J109" s="78">
        <v>0</v>
      </c>
      <c r="K109">
        <v>0</v>
      </c>
      <c r="L109">
        <f>SUM(Table2[[#This Row],[2021 Reach]:[2023 Reach]])*5</f>
        <v>0</v>
      </c>
      <c r="M109">
        <f>Table2[[#This Row],[2023 Reach]]*5</f>
        <v>0</v>
      </c>
      <c r="N109" s="79">
        <f>IFERROR(Table2[[#This Row],[2023 Reach People]]/Table2[[#This Row],[2023 Affected People]],0)</f>
        <v>0</v>
      </c>
      <c r="O109">
        <f t="shared" si="9"/>
        <v>1</v>
      </c>
      <c r="P109">
        <f t="shared" si="15"/>
        <v>1</v>
      </c>
      <c r="Q109">
        <f t="shared" si="16"/>
        <v>1</v>
      </c>
      <c r="R109">
        <f t="shared" si="12"/>
        <v>1</v>
      </c>
      <c r="S109">
        <f t="shared" si="14"/>
        <v>2</v>
      </c>
      <c r="T109">
        <f>IF(Table2[[#This Row],[Access 2023]]="Hard to reach", 4, IF(Table2[[#This Row],[Access 2023]]="Partially Accessible", 3, 2))</f>
        <v>2</v>
      </c>
      <c r="U109">
        <v>3</v>
      </c>
      <c r="W109">
        <f>SUM(Table2[[#This Row],[PIN Score]],Table2[[#This Row],[Response 2023 Score]],Table2[[#This Row],[Neglected Locality Percentage Response]],Table2[[#This Row],[Security and Access]])</f>
        <v>6</v>
      </c>
      <c r="X109">
        <f t="shared" si="17"/>
        <v>3</v>
      </c>
    </row>
    <row r="110" spans="1:24" x14ac:dyDescent="0.55000000000000004">
      <c r="A110" s="82" t="s">
        <v>452</v>
      </c>
      <c r="B110" s="81" t="s">
        <v>512</v>
      </c>
      <c r="C110" s="81" t="s">
        <v>359</v>
      </c>
      <c r="D110" s="76" t="s">
        <v>169</v>
      </c>
      <c r="E110" s="77">
        <v>31941</v>
      </c>
      <c r="F110" s="78">
        <v>87923</v>
      </c>
      <c r="G110" s="78"/>
      <c r="H110" s="78" t="s">
        <v>521</v>
      </c>
      <c r="I110" s="78">
        <v>0</v>
      </c>
      <c r="J110" s="78">
        <v>0</v>
      </c>
      <c r="K110">
        <v>0</v>
      </c>
      <c r="L110">
        <f>SUM(Table2[[#This Row],[2021 Reach]:[2023 Reach]])*5</f>
        <v>0</v>
      </c>
      <c r="M110">
        <f>Table2[[#This Row],[2023 Reach]]*5</f>
        <v>0</v>
      </c>
      <c r="N110" s="79">
        <f>IFERROR(Table2[[#This Row],[2023 Reach People]]/Table2[[#This Row],[2023 Affected People]],0)</f>
        <v>0</v>
      </c>
      <c r="O110">
        <f t="shared" si="9"/>
        <v>1</v>
      </c>
      <c r="P110">
        <f t="shared" si="15"/>
        <v>1</v>
      </c>
      <c r="Q110">
        <f t="shared" si="16"/>
        <v>1</v>
      </c>
      <c r="R110">
        <f t="shared" si="12"/>
        <v>1</v>
      </c>
      <c r="S110">
        <f t="shared" si="14"/>
        <v>2</v>
      </c>
      <c r="T110">
        <f>IF(Table2[[#This Row],[Access 2023]]="Hard to reach", 4, IF(Table2[[#This Row],[Access 2023]]="Partially Accessible", 3, 2))</f>
        <v>2</v>
      </c>
      <c r="U110">
        <v>4</v>
      </c>
      <c r="W110">
        <f>SUM(Table2[[#This Row],[PIN Score]],Table2[[#This Row],[Response 2023 Score]],Table2[[#This Row],[Neglected Locality Percentage Response]],Table2[[#This Row],[Security and Access]])</f>
        <v>6</v>
      </c>
      <c r="X110">
        <f t="shared" si="17"/>
        <v>3</v>
      </c>
    </row>
    <row r="111" spans="1:24" x14ac:dyDescent="0.55000000000000004">
      <c r="A111" s="82" t="s">
        <v>452</v>
      </c>
      <c r="B111" s="81" t="s">
        <v>512</v>
      </c>
      <c r="C111" s="81" t="s">
        <v>360</v>
      </c>
      <c r="D111" s="76" t="s">
        <v>170</v>
      </c>
      <c r="E111" s="77">
        <v>46545.35</v>
      </c>
      <c r="F111" s="78">
        <v>18691</v>
      </c>
      <c r="G111" s="78"/>
      <c r="H111" s="78" t="s">
        <v>521</v>
      </c>
      <c r="I111" s="78">
        <v>0</v>
      </c>
      <c r="J111" s="78">
        <v>0</v>
      </c>
      <c r="K111">
        <v>0</v>
      </c>
      <c r="L111">
        <f>SUM(Table2[[#This Row],[2021 Reach]:[2023 Reach]])*5</f>
        <v>0</v>
      </c>
      <c r="M111">
        <f>Table2[[#This Row],[2023 Reach]]*5</f>
        <v>0</v>
      </c>
      <c r="N111" s="79">
        <f>IFERROR(Table2[[#This Row],[2023 Reach People]]/Table2[[#This Row],[2023 Affected People]],0)</f>
        <v>0</v>
      </c>
      <c r="O111">
        <f t="shared" si="9"/>
        <v>1</v>
      </c>
      <c r="P111">
        <f t="shared" si="15"/>
        <v>1</v>
      </c>
      <c r="Q111">
        <f t="shared" si="16"/>
        <v>1</v>
      </c>
      <c r="R111">
        <f t="shared" si="12"/>
        <v>1</v>
      </c>
      <c r="S111">
        <f t="shared" si="14"/>
        <v>2</v>
      </c>
      <c r="T111">
        <f>IF(Table2[[#This Row],[Access 2023]]="Hard to reach", 4, IF(Table2[[#This Row],[Access 2023]]="Partially Accessible", 3, 2))</f>
        <v>2</v>
      </c>
      <c r="U111">
        <v>3</v>
      </c>
      <c r="W111">
        <f>SUM(Table2[[#This Row],[PIN Score]],Table2[[#This Row],[Response 2023 Score]],Table2[[#This Row],[Neglected Locality Percentage Response]],Table2[[#This Row],[Security and Access]])</f>
        <v>6</v>
      </c>
      <c r="X111">
        <f t="shared" si="17"/>
        <v>3</v>
      </c>
    </row>
    <row r="112" spans="1:24" x14ac:dyDescent="0.55000000000000004">
      <c r="A112" s="82" t="s">
        <v>452</v>
      </c>
      <c r="B112" s="81" t="s">
        <v>512</v>
      </c>
      <c r="C112" s="81" t="s">
        <v>361</v>
      </c>
      <c r="D112" s="76" t="s">
        <v>171</v>
      </c>
      <c r="E112" s="77">
        <v>59000</v>
      </c>
      <c r="F112" s="78">
        <v>76693</v>
      </c>
      <c r="G112" s="78"/>
      <c r="H112" s="78" t="s">
        <v>521</v>
      </c>
      <c r="I112" s="78">
        <v>0</v>
      </c>
      <c r="J112" s="78">
        <v>0</v>
      </c>
      <c r="K112">
        <v>0</v>
      </c>
      <c r="L112">
        <f>SUM(Table2[[#This Row],[2021 Reach]:[2023 Reach]])*5</f>
        <v>0</v>
      </c>
      <c r="M112">
        <f>Table2[[#This Row],[2023 Reach]]*5</f>
        <v>0</v>
      </c>
      <c r="N112" s="79">
        <f>IFERROR(Table2[[#This Row],[2023 Reach People]]/Table2[[#This Row],[2023 Affected People]],0)</f>
        <v>0</v>
      </c>
      <c r="O112">
        <f t="shared" si="9"/>
        <v>1</v>
      </c>
      <c r="P112">
        <f t="shared" si="15"/>
        <v>1</v>
      </c>
      <c r="Q112">
        <f t="shared" si="16"/>
        <v>1</v>
      </c>
      <c r="R112">
        <f t="shared" si="12"/>
        <v>1</v>
      </c>
      <c r="S112">
        <f t="shared" si="14"/>
        <v>2</v>
      </c>
      <c r="T112">
        <f>IF(Table2[[#This Row],[Access 2023]]="Hard to reach", 4, IF(Table2[[#This Row],[Access 2023]]="Partially Accessible", 3, 2))</f>
        <v>2</v>
      </c>
      <c r="U112">
        <v>4</v>
      </c>
      <c r="W112">
        <f>SUM(Table2[[#This Row],[PIN Score]],Table2[[#This Row],[Response 2023 Score]],Table2[[#This Row],[Neglected Locality Percentage Response]],Table2[[#This Row],[Security and Access]])</f>
        <v>6</v>
      </c>
      <c r="X112">
        <f t="shared" si="17"/>
        <v>3</v>
      </c>
    </row>
    <row r="113" spans="1:24" x14ac:dyDescent="0.55000000000000004">
      <c r="A113" s="82" t="s">
        <v>452</v>
      </c>
      <c r="B113" s="81" t="s">
        <v>512</v>
      </c>
      <c r="C113" s="81" t="s">
        <v>362</v>
      </c>
      <c r="D113" s="76" t="s">
        <v>172</v>
      </c>
      <c r="E113" s="77">
        <v>41322</v>
      </c>
      <c r="F113" s="78">
        <v>81993</v>
      </c>
      <c r="G113" s="78"/>
      <c r="H113" s="78" t="s">
        <v>521</v>
      </c>
      <c r="I113" s="78">
        <v>0</v>
      </c>
      <c r="J113" s="78">
        <v>0</v>
      </c>
      <c r="K113">
        <v>0</v>
      </c>
      <c r="L113">
        <f>SUM(Table2[[#This Row],[2021 Reach]:[2023 Reach]])*5</f>
        <v>0</v>
      </c>
      <c r="M113">
        <f>Table2[[#This Row],[2023 Reach]]*5</f>
        <v>0</v>
      </c>
      <c r="N113" s="79">
        <f>IFERROR(Table2[[#This Row],[2023 Reach People]]/Table2[[#This Row],[2023 Affected People]],0)</f>
        <v>0</v>
      </c>
      <c r="O113">
        <f t="shared" si="9"/>
        <v>1</v>
      </c>
      <c r="P113">
        <f t="shared" si="15"/>
        <v>1</v>
      </c>
      <c r="Q113">
        <f t="shared" si="16"/>
        <v>1</v>
      </c>
      <c r="R113">
        <f t="shared" si="12"/>
        <v>1</v>
      </c>
      <c r="S113">
        <f t="shared" si="14"/>
        <v>2</v>
      </c>
      <c r="T113">
        <f>IF(Table2[[#This Row],[Access 2023]]="Hard to reach", 4, IF(Table2[[#This Row],[Access 2023]]="Partially Accessible", 3, 2))</f>
        <v>2</v>
      </c>
      <c r="U113">
        <v>4</v>
      </c>
      <c r="W113">
        <f>SUM(Table2[[#This Row],[PIN Score]],Table2[[#This Row],[Response 2023 Score]],Table2[[#This Row],[Neglected Locality Percentage Response]],Table2[[#This Row],[Security and Access]])</f>
        <v>6</v>
      </c>
      <c r="X113">
        <f t="shared" si="17"/>
        <v>3</v>
      </c>
    </row>
    <row r="114" spans="1:24" x14ac:dyDescent="0.55000000000000004">
      <c r="A114" s="82" t="s">
        <v>452</v>
      </c>
      <c r="B114" s="81" t="s">
        <v>512</v>
      </c>
      <c r="C114" s="81" t="s">
        <v>363</v>
      </c>
      <c r="D114" s="76" t="s">
        <v>173</v>
      </c>
      <c r="E114" s="77">
        <v>57433</v>
      </c>
      <c r="F114" s="78">
        <v>29389</v>
      </c>
      <c r="G114" s="78"/>
      <c r="H114" s="78" t="s">
        <v>521</v>
      </c>
      <c r="I114" s="78">
        <v>560</v>
      </c>
      <c r="J114" s="78">
        <v>1070</v>
      </c>
      <c r="K114">
        <v>0</v>
      </c>
      <c r="L114">
        <f>SUM(Table2[[#This Row],[2021 Reach]:[2023 Reach]])*5</f>
        <v>8150</v>
      </c>
      <c r="M114">
        <f>Table2[[#This Row],[2023 Reach]]*5</f>
        <v>0</v>
      </c>
      <c r="N114" s="79">
        <f>IFERROR(Table2[[#This Row],[2023 Reach People]]/Table2[[#This Row],[2023 Affected People]],0)</f>
        <v>0</v>
      </c>
      <c r="O114">
        <f t="shared" si="9"/>
        <v>1</v>
      </c>
      <c r="P114">
        <f t="shared" si="15"/>
        <v>0</v>
      </c>
      <c r="Q114">
        <f t="shared" si="16"/>
        <v>0</v>
      </c>
      <c r="R114">
        <f t="shared" si="12"/>
        <v>1</v>
      </c>
      <c r="S114">
        <f t="shared" si="14"/>
        <v>2</v>
      </c>
      <c r="T114">
        <f>IF(Table2[[#This Row],[Access 2023]]="Hard to reach", 4, IF(Table2[[#This Row],[Access 2023]]="Partially Accessible", 3, 2))</f>
        <v>2</v>
      </c>
      <c r="U114">
        <v>3</v>
      </c>
      <c r="W114">
        <f>SUM(Table2[[#This Row],[PIN Score]],Table2[[#This Row],[Response 2023 Score]],Table2[[#This Row],[Neglected Locality Percentage Response]],Table2[[#This Row],[Security and Access]])</f>
        <v>6</v>
      </c>
      <c r="X114">
        <f t="shared" si="17"/>
        <v>3</v>
      </c>
    </row>
    <row r="115" spans="1:24" x14ac:dyDescent="0.55000000000000004">
      <c r="A115" s="82" t="s">
        <v>452</v>
      </c>
      <c r="B115" s="81" t="s">
        <v>512</v>
      </c>
      <c r="C115" s="81" t="s">
        <v>364</v>
      </c>
      <c r="D115" s="76" t="s">
        <v>174</v>
      </c>
      <c r="E115" s="77">
        <v>55222</v>
      </c>
      <c r="F115" s="78">
        <v>80226</v>
      </c>
      <c r="G115" s="78"/>
      <c r="H115" s="78" t="s">
        <v>521</v>
      </c>
      <c r="I115" s="78">
        <v>0</v>
      </c>
      <c r="J115" s="78">
        <v>0</v>
      </c>
      <c r="K115">
        <v>0</v>
      </c>
      <c r="L115">
        <f>SUM(Table2[[#This Row],[2021 Reach]:[2023 Reach]])*5</f>
        <v>0</v>
      </c>
      <c r="M115">
        <f>Table2[[#This Row],[2023 Reach]]*5</f>
        <v>0</v>
      </c>
      <c r="N115" s="79">
        <f>IFERROR(Table2[[#This Row],[2023 Reach People]]/Table2[[#This Row],[2023 Affected People]],0)</f>
        <v>0</v>
      </c>
      <c r="O115">
        <f t="shared" si="9"/>
        <v>1</v>
      </c>
      <c r="P115">
        <f t="shared" si="15"/>
        <v>1</v>
      </c>
      <c r="Q115">
        <f t="shared" si="16"/>
        <v>1</v>
      </c>
      <c r="R115">
        <f t="shared" si="12"/>
        <v>1</v>
      </c>
      <c r="S115">
        <f t="shared" si="14"/>
        <v>2</v>
      </c>
      <c r="T115">
        <f>IF(Table2[[#This Row],[Access 2023]]="Hard to reach", 4, IF(Table2[[#This Row],[Access 2023]]="Partially Accessible", 3, 2))</f>
        <v>2</v>
      </c>
      <c r="U115">
        <v>4</v>
      </c>
      <c r="W115">
        <f>SUM(Table2[[#This Row],[PIN Score]],Table2[[#This Row],[Response 2023 Score]],Table2[[#This Row],[Neglected Locality Percentage Response]],Table2[[#This Row],[Security and Access]])</f>
        <v>6</v>
      </c>
      <c r="X115">
        <f t="shared" si="17"/>
        <v>3</v>
      </c>
    </row>
    <row r="116" spans="1:24" x14ac:dyDescent="0.55000000000000004">
      <c r="A116" s="82" t="s">
        <v>369</v>
      </c>
      <c r="B116" s="81" t="s">
        <v>513</v>
      </c>
      <c r="C116" s="81" t="s">
        <v>365</v>
      </c>
      <c r="D116" s="76" t="s">
        <v>175</v>
      </c>
      <c r="E116" s="77">
        <v>128216</v>
      </c>
      <c r="F116" s="78">
        <v>49012</v>
      </c>
      <c r="G116" s="78"/>
      <c r="H116" s="78" t="s">
        <v>521</v>
      </c>
      <c r="I116" s="78">
        <v>0</v>
      </c>
      <c r="J116" s="78">
        <v>240</v>
      </c>
      <c r="K116">
        <v>0</v>
      </c>
      <c r="L116">
        <f>SUM(Table2[[#This Row],[2021 Reach]:[2023 Reach]])*5</f>
        <v>1200</v>
      </c>
      <c r="M116">
        <f>Table2[[#This Row],[2023 Reach]]*5</f>
        <v>0</v>
      </c>
      <c r="N116" s="79">
        <f>IFERROR(Table2[[#This Row],[2023 Reach People]]/Table2[[#This Row],[2023 Affected People]],0)</f>
        <v>0</v>
      </c>
      <c r="O116">
        <f t="shared" si="9"/>
        <v>1</v>
      </c>
      <c r="P116">
        <f t="shared" si="15"/>
        <v>1</v>
      </c>
      <c r="Q116">
        <f t="shared" si="16"/>
        <v>0</v>
      </c>
      <c r="R116">
        <f t="shared" si="12"/>
        <v>1</v>
      </c>
      <c r="S116">
        <f t="shared" si="14"/>
        <v>2</v>
      </c>
      <c r="T116">
        <f>IF(Table2[[#This Row],[Access 2023]]="Hard to reach", 4, IF(Table2[[#This Row],[Access 2023]]="Partially Accessible", 3, 2))</f>
        <v>2</v>
      </c>
      <c r="U116">
        <v>4</v>
      </c>
      <c r="W116">
        <f>SUM(Table2[[#This Row],[PIN Score]],Table2[[#This Row],[Response 2023 Score]],Table2[[#This Row],[Neglected Locality Percentage Response]],Table2[[#This Row],[Security and Access]])</f>
        <v>6</v>
      </c>
      <c r="X116">
        <f t="shared" si="17"/>
        <v>3</v>
      </c>
    </row>
    <row r="117" spans="1:24" x14ac:dyDescent="0.55000000000000004">
      <c r="A117" s="82" t="s">
        <v>369</v>
      </c>
      <c r="B117" s="81" t="s">
        <v>513</v>
      </c>
      <c r="C117" s="81" t="s">
        <v>366</v>
      </c>
      <c r="D117" s="76" t="s">
        <v>176</v>
      </c>
      <c r="E117" s="77">
        <v>198386</v>
      </c>
      <c r="F117" s="78">
        <v>25918</v>
      </c>
      <c r="G117" s="78"/>
      <c r="H117" s="78" t="s">
        <v>521</v>
      </c>
      <c r="I117" s="78">
        <v>0</v>
      </c>
      <c r="J117" s="78">
        <v>0</v>
      </c>
      <c r="K117">
        <v>0</v>
      </c>
      <c r="L117">
        <f>SUM(Table2[[#This Row],[2021 Reach]:[2023 Reach]])*5</f>
        <v>0</v>
      </c>
      <c r="M117">
        <f>Table2[[#This Row],[2023 Reach]]*5</f>
        <v>0</v>
      </c>
      <c r="N117" s="79">
        <f>IFERROR(Table2[[#This Row],[2023 Reach People]]/Table2[[#This Row],[2023 Affected People]],0)</f>
        <v>0</v>
      </c>
      <c r="O117">
        <f t="shared" si="9"/>
        <v>1</v>
      </c>
      <c r="P117">
        <f t="shared" si="15"/>
        <v>1</v>
      </c>
      <c r="Q117">
        <f t="shared" si="16"/>
        <v>1</v>
      </c>
      <c r="R117">
        <f t="shared" si="12"/>
        <v>1</v>
      </c>
      <c r="S117">
        <f t="shared" si="14"/>
        <v>2</v>
      </c>
      <c r="T117">
        <f>IF(Table2[[#This Row],[Access 2023]]="Hard to reach", 4, IF(Table2[[#This Row],[Access 2023]]="Partially Accessible", 3, 2))</f>
        <v>2</v>
      </c>
      <c r="U117">
        <v>3</v>
      </c>
      <c r="W117">
        <f>SUM(Table2[[#This Row],[PIN Score]],Table2[[#This Row],[Response 2023 Score]],Table2[[#This Row],[Neglected Locality Percentage Response]],Table2[[#This Row],[Security and Access]])</f>
        <v>6</v>
      </c>
      <c r="X117">
        <f t="shared" si="17"/>
        <v>3</v>
      </c>
    </row>
    <row r="118" spans="1:24" x14ac:dyDescent="0.55000000000000004">
      <c r="A118" s="82" t="s">
        <v>369</v>
      </c>
      <c r="B118" s="81" t="s">
        <v>513</v>
      </c>
      <c r="C118" s="81" t="s">
        <v>367</v>
      </c>
      <c r="D118" s="76" t="s">
        <v>177</v>
      </c>
      <c r="E118" s="77">
        <v>41276</v>
      </c>
      <c r="F118" s="78">
        <v>61761</v>
      </c>
      <c r="G118" s="78"/>
      <c r="H118" s="78" t="s">
        <v>521</v>
      </c>
      <c r="I118" s="78">
        <v>0</v>
      </c>
      <c r="J118" s="78">
        <v>0</v>
      </c>
      <c r="K118">
        <v>0</v>
      </c>
      <c r="L118">
        <f>SUM(Table2[[#This Row],[2021 Reach]:[2023 Reach]])*5</f>
        <v>0</v>
      </c>
      <c r="M118">
        <f>Table2[[#This Row],[2023 Reach]]*5</f>
        <v>0</v>
      </c>
      <c r="N118" s="79">
        <f>IFERROR(Table2[[#This Row],[2023 Reach People]]/Table2[[#This Row],[2023 Affected People]],0)</f>
        <v>0</v>
      </c>
      <c r="O118">
        <f t="shared" si="9"/>
        <v>1</v>
      </c>
      <c r="P118">
        <f t="shared" si="15"/>
        <v>1</v>
      </c>
      <c r="Q118">
        <f t="shared" si="16"/>
        <v>1</v>
      </c>
      <c r="R118">
        <f t="shared" si="12"/>
        <v>1</v>
      </c>
      <c r="S118">
        <f t="shared" si="14"/>
        <v>2</v>
      </c>
      <c r="T118">
        <f>IF(Table2[[#This Row],[Access 2023]]="Hard to reach", 4, IF(Table2[[#This Row],[Access 2023]]="Partially Accessible", 3, 2))</f>
        <v>2</v>
      </c>
      <c r="U118">
        <v>4</v>
      </c>
      <c r="W118">
        <f>SUM(Table2[[#This Row],[PIN Score]],Table2[[#This Row],[Response 2023 Score]],Table2[[#This Row],[Neglected Locality Percentage Response]],Table2[[#This Row],[Security and Access]])</f>
        <v>6</v>
      </c>
      <c r="X118">
        <f t="shared" si="17"/>
        <v>3</v>
      </c>
    </row>
    <row r="119" spans="1:24" x14ac:dyDescent="0.55000000000000004">
      <c r="A119" s="82" t="s">
        <v>369</v>
      </c>
      <c r="B119" s="81" t="s">
        <v>513</v>
      </c>
      <c r="C119" s="81" t="s">
        <v>368</v>
      </c>
      <c r="D119" s="76" t="s">
        <v>178</v>
      </c>
      <c r="E119" s="77">
        <v>66200</v>
      </c>
      <c r="F119" s="78">
        <v>59778</v>
      </c>
      <c r="G119" s="78"/>
      <c r="H119" s="78" t="s">
        <v>521</v>
      </c>
      <c r="I119" s="78">
        <v>0</v>
      </c>
      <c r="J119" s="78">
        <v>260</v>
      </c>
      <c r="K119">
        <v>0</v>
      </c>
      <c r="L119">
        <f>SUM(Table2[[#This Row],[2021 Reach]:[2023 Reach]])*5</f>
        <v>1300</v>
      </c>
      <c r="M119">
        <f>Table2[[#This Row],[2023 Reach]]*5</f>
        <v>0</v>
      </c>
      <c r="N119" s="79">
        <f>IFERROR(Table2[[#This Row],[2023 Reach People]]/Table2[[#This Row],[2023 Affected People]],0)</f>
        <v>0</v>
      </c>
      <c r="O119">
        <f t="shared" si="9"/>
        <v>1</v>
      </c>
      <c r="P119">
        <f t="shared" si="15"/>
        <v>1</v>
      </c>
      <c r="Q119">
        <f t="shared" si="16"/>
        <v>0</v>
      </c>
      <c r="R119">
        <f t="shared" si="12"/>
        <v>1</v>
      </c>
      <c r="S119">
        <f t="shared" si="14"/>
        <v>2</v>
      </c>
      <c r="T119">
        <f>IF(Table2[[#This Row],[Access 2023]]="Hard to reach", 4, IF(Table2[[#This Row],[Access 2023]]="Partially Accessible", 3, 2))</f>
        <v>2</v>
      </c>
      <c r="U119">
        <v>3</v>
      </c>
      <c r="W119">
        <f>SUM(Table2[[#This Row],[PIN Score]],Table2[[#This Row],[Response 2023 Score]],Table2[[#This Row],[Neglected Locality Percentage Response]],Table2[[#This Row],[Security and Access]])</f>
        <v>6</v>
      </c>
      <c r="X119">
        <f t="shared" si="17"/>
        <v>3</v>
      </c>
    </row>
    <row r="120" spans="1:24" x14ac:dyDescent="0.55000000000000004">
      <c r="A120" s="82" t="s">
        <v>369</v>
      </c>
      <c r="B120" s="81" t="s">
        <v>513</v>
      </c>
      <c r="C120" s="81" t="s">
        <v>369</v>
      </c>
      <c r="D120" s="76" t="s">
        <v>179</v>
      </c>
      <c r="E120" s="77">
        <v>45590</v>
      </c>
      <c r="F120" s="78">
        <v>63500</v>
      </c>
      <c r="G120" s="78"/>
      <c r="H120" s="78" t="s">
        <v>521</v>
      </c>
      <c r="I120" s="78">
        <v>0</v>
      </c>
      <c r="J120" s="78">
        <v>818</v>
      </c>
      <c r="K120">
        <v>0</v>
      </c>
      <c r="L120">
        <f>SUM(Table2[[#This Row],[2021 Reach]:[2023 Reach]])*5</f>
        <v>4090</v>
      </c>
      <c r="M120">
        <f>Table2[[#This Row],[2023 Reach]]*5</f>
        <v>0</v>
      </c>
      <c r="N120" s="79">
        <f>IFERROR(Table2[[#This Row],[2023 Reach People]]/Table2[[#This Row],[2023 Affected People]],0)</f>
        <v>0</v>
      </c>
      <c r="O120">
        <f t="shared" si="9"/>
        <v>1</v>
      </c>
      <c r="P120">
        <f t="shared" si="15"/>
        <v>1</v>
      </c>
      <c r="Q120">
        <f t="shared" si="16"/>
        <v>0</v>
      </c>
      <c r="R120">
        <f t="shared" si="12"/>
        <v>1</v>
      </c>
      <c r="S120">
        <f t="shared" si="14"/>
        <v>2</v>
      </c>
      <c r="T120">
        <f>IF(Table2[[#This Row],[Access 2023]]="Hard to reach", 4, IF(Table2[[#This Row],[Access 2023]]="Partially Accessible", 3, 2))</f>
        <v>2</v>
      </c>
      <c r="U120">
        <v>3</v>
      </c>
      <c r="W120">
        <f>SUM(Table2[[#This Row],[PIN Score]],Table2[[#This Row],[Response 2023 Score]],Table2[[#This Row],[Neglected Locality Percentage Response]],Table2[[#This Row],[Security and Access]])</f>
        <v>6</v>
      </c>
      <c r="X120">
        <f t="shared" si="17"/>
        <v>3</v>
      </c>
    </row>
    <row r="121" spans="1:24" x14ac:dyDescent="0.55000000000000004">
      <c r="A121" s="82" t="s">
        <v>369</v>
      </c>
      <c r="B121" s="81" t="s">
        <v>513</v>
      </c>
      <c r="C121" s="81" t="s">
        <v>370</v>
      </c>
      <c r="D121" s="76" t="s">
        <v>180</v>
      </c>
      <c r="E121" s="77">
        <v>63188</v>
      </c>
      <c r="F121" s="78">
        <v>55582</v>
      </c>
      <c r="G121" s="78"/>
      <c r="H121" s="78" t="s">
        <v>521</v>
      </c>
      <c r="I121" s="78">
        <v>0</v>
      </c>
      <c r="J121" s="78">
        <v>0</v>
      </c>
      <c r="K121">
        <v>0</v>
      </c>
      <c r="L121">
        <f>SUM(Table2[[#This Row],[2021 Reach]:[2023 Reach]])*5</f>
        <v>0</v>
      </c>
      <c r="M121">
        <f>Table2[[#This Row],[2023 Reach]]*5</f>
        <v>0</v>
      </c>
      <c r="N121" s="79">
        <f>IFERROR(Table2[[#This Row],[2023 Reach People]]/Table2[[#This Row],[2023 Affected People]],0)</f>
        <v>0</v>
      </c>
      <c r="O121">
        <f t="shared" si="9"/>
        <v>1</v>
      </c>
      <c r="P121">
        <f t="shared" si="15"/>
        <v>1</v>
      </c>
      <c r="Q121">
        <f t="shared" si="16"/>
        <v>1</v>
      </c>
      <c r="R121">
        <f t="shared" si="12"/>
        <v>1</v>
      </c>
      <c r="S121">
        <f t="shared" si="14"/>
        <v>2</v>
      </c>
      <c r="T121">
        <f>IF(Table2[[#This Row],[Access 2023]]="Hard to reach", 4, IF(Table2[[#This Row],[Access 2023]]="Partially Accessible", 3, 2))</f>
        <v>2</v>
      </c>
      <c r="U121">
        <v>4</v>
      </c>
      <c r="W121">
        <f>SUM(Table2[[#This Row],[PIN Score]],Table2[[#This Row],[Response 2023 Score]],Table2[[#This Row],[Neglected Locality Percentage Response]],Table2[[#This Row],[Security and Access]])</f>
        <v>6</v>
      </c>
      <c r="X121">
        <f t="shared" si="17"/>
        <v>3</v>
      </c>
    </row>
    <row r="122" spans="1:24" x14ac:dyDescent="0.55000000000000004">
      <c r="A122" s="82" t="s">
        <v>369</v>
      </c>
      <c r="B122" s="81" t="s">
        <v>513</v>
      </c>
      <c r="C122" s="81" t="s">
        <v>371</v>
      </c>
      <c r="D122" s="76" t="s">
        <v>181</v>
      </c>
      <c r="E122" s="77">
        <v>60129</v>
      </c>
      <c r="F122" s="78">
        <v>29931</v>
      </c>
      <c r="G122" s="78"/>
      <c r="H122" s="78" t="s">
        <v>521</v>
      </c>
      <c r="I122" s="78">
        <v>0</v>
      </c>
      <c r="J122" s="78">
        <v>0</v>
      </c>
      <c r="K122">
        <v>0</v>
      </c>
      <c r="L122">
        <f>SUM(Table2[[#This Row],[2021 Reach]:[2023 Reach]])*5</f>
        <v>0</v>
      </c>
      <c r="M122">
        <f>Table2[[#This Row],[2023 Reach]]*5</f>
        <v>0</v>
      </c>
      <c r="N122" s="79">
        <f>IFERROR(Table2[[#This Row],[2023 Reach People]]/Table2[[#This Row],[2023 Affected People]],0)</f>
        <v>0</v>
      </c>
      <c r="O122">
        <f t="shared" si="9"/>
        <v>1</v>
      </c>
      <c r="P122">
        <f t="shared" si="15"/>
        <v>1</v>
      </c>
      <c r="Q122">
        <f t="shared" si="16"/>
        <v>1</v>
      </c>
      <c r="R122">
        <f t="shared" si="12"/>
        <v>1</v>
      </c>
      <c r="S122">
        <f t="shared" si="14"/>
        <v>2</v>
      </c>
      <c r="T122">
        <f>IF(Table2[[#This Row],[Access 2023]]="Hard to reach", 4, IF(Table2[[#This Row],[Access 2023]]="Partially Accessible", 3, 2))</f>
        <v>2</v>
      </c>
      <c r="U122">
        <v>3</v>
      </c>
      <c r="W122">
        <f>SUM(Table2[[#This Row],[PIN Score]],Table2[[#This Row],[Response 2023 Score]],Table2[[#This Row],[Neglected Locality Percentage Response]],Table2[[#This Row],[Security and Access]])</f>
        <v>6</v>
      </c>
      <c r="X122">
        <f t="shared" si="17"/>
        <v>3</v>
      </c>
    </row>
    <row r="123" spans="1:24" ht="24.6" x14ac:dyDescent="0.55000000000000004">
      <c r="A123" s="82" t="s">
        <v>453</v>
      </c>
      <c r="B123" s="81" t="s">
        <v>514</v>
      </c>
      <c r="C123" s="81" t="s">
        <v>372</v>
      </c>
      <c r="D123" s="76" t="s">
        <v>182</v>
      </c>
      <c r="E123" s="77">
        <v>83827</v>
      </c>
      <c r="F123" s="78">
        <v>43910</v>
      </c>
      <c r="G123" s="78"/>
      <c r="H123" s="78" t="s">
        <v>522</v>
      </c>
      <c r="I123" s="78">
        <v>4695</v>
      </c>
      <c r="J123" s="78">
        <v>5156</v>
      </c>
      <c r="K123">
        <v>0</v>
      </c>
      <c r="L123">
        <f>SUM(Table2[[#This Row],[2021 Reach]:[2023 Reach]])*5</f>
        <v>49255</v>
      </c>
      <c r="M123">
        <f>Table2[[#This Row],[2023 Reach]]*5</f>
        <v>0</v>
      </c>
      <c r="N123" s="79">
        <f>IFERROR(Table2[[#This Row],[2023 Reach People]]/Table2[[#This Row],[2023 Affected People]],0)</f>
        <v>0</v>
      </c>
      <c r="O123">
        <f t="shared" si="9"/>
        <v>1</v>
      </c>
      <c r="P123">
        <f t="shared" si="15"/>
        <v>0</v>
      </c>
      <c r="Q123">
        <f t="shared" si="16"/>
        <v>0</v>
      </c>
      <c r="R123">
        <f t="shared" si="12"/>
        <v>1</v>
      </c>
      <c r="S123">
        <f t="shared" si="14"/>
        <v>2</v>
      </c>
      <c r="T123">
        <f>IF(Table2[[#This Row],[Access 2023]]="Hard to reach", 4, IF(Table2[[#This Row],[Access 2023]]="Partially Accessible", 3, 2))</f>
        <v>3</v>
      </c>
      <c r="U123">
        <v>1</v>
      </c>
      <c r="W123">
        <f>SUM(Table2[[#This Row],[PIN Score]],Table2[[#This Row],[Response 2023 Score]],Table2[[#This Row],[Neglected Locality Percentage Response]],Table2[[#This Row],[Security and Access]])</f>
        <v>7</v>
      </c>
      <c r="X123">
        <f t="shared" si="17"/>
        <v>4</v>
      </c>
    </row>
    <row r="124" spans="1:24" ht="24.6" x14ac:dyDescent="0.55000000000000004">
      <c r="A124" s="82" t="s">
        <v>453</v>
      </c>
      <c r="B124" s="81" t="s">
        <v>514</v>
      </c>
      <c r="C124" s="81" t="s">
        <v>373</v>
      </c>
      <c r="D124" s="76" t="s">
        <v>183</v>
      </c>
      <c r="E124" s="77">
        <v>50772</v>
      </c>
      <c r="F124" s="78">
        <v>0</v>
      </c>
      <c r="G124" s="78"/>
      <c r="H124" s="78" t="s">
        <v>522</v>
      </c>
      <c r="I124" s="78">
        <v>0</v>
      </c>
      <c r="J124" s="78">
        <v>0</v>
      </c>
      <c r="K124">
        <v>0</v>
      </c>
      <c r="L124">
        <f>SUM(Table2[[#This Row],[2021 Reach]:[2023 Reach]])*5</f>
        <v>0</v>
      </c>
      <c r="M124">
        <f>Table2[[#This Row],[2023 Reach]]*5</f>
        <v>0</v>
      </c>
      <c r="N124" s="79">
        <f>IFERROR(Table2[[#This Row],[2023 Reach People]]/Table2[[#This Row],[2023 Affected People]],0)</f>
        <v>0</v>
      </c>
      <c r="O124">
        <f t="shared" si="9"/>
        <v>0</v>
      </c>
      <c r="P124">
        <f t="shared" si="15"/>
        <v>1</v>
      </c>
      <c r="Q124">
        <f t="shared" si="16"/>
        <v>1</v>
      </c>
      <c r="R124">
        <f t="shared" si="12"/>
        <v>1</v>
      </c>
      <c r="S124">
        <f t="shared" si="14"/>
        <v>2</v>
      </c>
      <c r="T124">
        <f>IF(Table2[[#This Row],[Access 2023]]="Hard to reach", 4, IF(Table2[[#This Row],[Access 2023]]="Partially Accessible", 3, 2))</f>
        <v>3</v>
      </c>
      <c r="U124">
        <v>2</v>
      </c>
      <c r="W124">
        <f>SUM(Table2[[#This Row],[PIN Score]],Table2[[#This Row],[Response 2023 Score]],Table2[[#This Row],[Neglected Locality Percentage Response]],Table2[[#This Row],[Security and Access]])</f>
        <v>6</v>
      </c>
      <c r="X124">
        <f t="shared" si="17"/>
        <v>3</v>
      </c>
    </row>
    <row r="125" spans="1:24" ht="24.6" x14ac:dyDescent="0.55000000000000004">
      <c r="A125" s="82" t="s">
        <v>453</v>
      </c>
      <c r="B125" s="81" t="s">
        <v>514</v>
      </c>
      <c r="C125" s="81" t="s">
        <v>374</v>
      </c>
      <c r="D125" s="76" t="s">
        <v>184</v>
      </c>
      <c r="E125" s="77">
        <v>79556</v>
      </c>
      <c r="F125" s="78">
        <v>504</v>
      </c>
      <c r="G125" s="78"/>
      <c r="H125" s="78" t="s">
        <v>522</v>
      </c>
      <c r="I125" s="78">
        <v>674</v>
      </c>
      <c r="J125" s="78">
        <v>412</v>
      </c>
      <c r="K125">
        <v>300</v>
      </c>
      <c r="L125">
        <f>SUM(Table2[[#This Row],[2021 Reach]:[2023 Reach]])*5</f>
        <v>6930</v>
      </c>
      <c r="M125">
        <f>Table2[[#This Row],[2023 Reach]]*5</f>
        <v>1500</v>
      </c>
      <c r="N125" s="79">
        <f>IFERROR(Table2[[#This Row],[2023 Reach People]]/Table2[[#This Row],[2023 Affected People]],0)</f>
        <v>1.8854643270149327E-2</v>
      </c>
      <c r="O125">
        <f t="shared" si="9"/>
        <v>1</v>
      </c>
      <c r="P125">
        <f t="shared" si="15"/>
        <v>0</v>
      </c>
      <c r="Q125">
        <f t="shared" si="16"/>
        <v>0</v>
      </c>
      <c r="R125">
        <f t="shared" si="12"/>
        <v>0</v>
      </c>
      <c r="S125">
        <f t="shared" si="14"/>
        <v>1</v>
      </c>
      <c r="T125">
        <f>IF(Table2[[#This Row],[Access 2023]]="Hard to reach", 4, IF(Table2[[#This Row],[Access 2023]]="Partially Accessible", 3, 2))</f>
        <v>3</v>
      </c>
      <c r="U125">
        <v>2</v>
      </c>
      <c r="W125">
        <f>SUM(Table2[[#This Row],[PIN Score]],Table2[[#This Row],[Response 2023 Score]],Table2[[#This Row],[Neglected Locality Percentage Response]],Table2[[#This Row],[Security and Access]])</f>
        <v>5</v>
      </c>
      <c r="X125">
        <f t="shared" si="17"/>
        <v>2</v>
      </c>
    </row>
    <row r="126" spans="1:24" ht="24.6" x14ac:dyDescent="0.55000000000000004">
      <c r="A126" s="82" t="s">
        <v>453</v>
      </c>
      <c r="B126" s="81" t="s">
        <v>514</v>
      </c>
      <c r="C126" s="81" t="s">
        <v>375</v>
      </c>
      <c r="D126" s="76" t="s">
        <v>185</v>
      </c>
      <c r="E126" s="77">
        <v>94106</v>
      </c>
      <c r="F126" s="78">
        <v>0</v>
      </c>
      <c r="G126" s="78"/>
      <c r="H126" s="78" t="s">
        <v>522</v>
      </c>
      <c r="I126" s="78">
        <v>0</v>
      </c>
      <c r="J126" s="78">
        <v>0</v>
      </c>
      <c r="K126">
        <v>0</v>
      </c>
      <c r="L126">
        <f>SUM(Table2[[#This Row],[2021 Reach]:[2023 Reach]])*5</f>
        <v>0</v>
      </c>
      <c r="M126">
        <f>Table2[[#This Row],[2023 Reach]]*5</f>
        <v>0</v>
      </c>
      <c r="N126" s="79">
        <f>IFERROR(Table2[[#This Row],[2023 Reach People]]/Table2[[#This Row],[2023 Affected People]],0)</f>
        <v>0</v>
      </c>
      <c r="O126">
        <f t="shared" si="9"/>
        <v>0</v>
      </c>
      <c r="P126">
        <f t="shared" si="15"/>
        <v>1</v>
      </c>
      <c r="Q126">
        <f t="shared" si="16"/>
        <v>1</v>
      </c>
      <c r="R126">
        <f t="shared" si="12"/>
        <v>1</v>
      </c>
      <c r="S126">
        <f t="shared" si="14"/>
        <v>2</v>
      </c>
      <c r="T126">
        <f>IF(Table2[[#This Row],[Access 2023]]="Hard to reach", 4, IF(Table2[[#This Row],[Access 2023]]="Partially Accessible", 3, 2))</f>
        <v>3</v>
      </c>
      <c r="U126">
        <v>2</v>
      </c>
      <c r="W126">
        <f>SUM(Table2[[#This Row],[PIN Score]],Table2[[#This Row],[Response 2023 Score]],Table2[[#This Row],[Neglected Locality Percentage Response]],Table2[[#This Row],[Security and Access]])</f>
        <v>6</v>
      </c>
      <c r="X126">
        <f t="shared" si="17"/>
        <v>3</v>
      </c>
    </row>
    <row r="127" spans="1:24" ht="24.6" x14ac:dyDescent="0.55000000000000004">
      <c r="A127" s="82" t="s">
        <v>453</v>
      </c>
      <c r="B127" s="81" t="s">
        <v>514</v>
      </c>
      <c r="C127" s="81" t="s">
        <v>376</v>
      </c>
      <c r="D127" s="76" t="s">
        <v>186</v>
      </c>
      <c r="E127" s="77">
        <v>172625</v>
      </c>
      <c r="F127" s="78">
        <v>413649</v>
      </c>
      <c r="G127" s="78"/>
      <c r="H127" s="78" t="s">
        <v>522</v>
      </c>
      <c r="I127" s="78">
        <v>3188</v>
      </c>
      <c r="J127" s="78">
        <v>16872</v>
      </c>
      <c r="K127">
        <v>4487</v>
      </c>
      <c r="L127">
        <f>SUM(Table2[[#This Row],[2021 Reach]:[2023 Reach]])*5</f>
        <v>122735</v>
      </c>
      <c r="M127">
        <f>Table2[[#This Row],[2023 Reach]]*5</f>
        <v>22435</v>
      </c>
      <c r="N127" s="79">
        <f>IFERROR(Table2[[#This Row],[2023 Reach People]]/Table2[[#This Row],[2023 Affected People]],0)</f>
        <v>0.1299637943519189</v>
      </c>
      <c r="O127">
        <f t="shared" si="9"/>
        <v>4</v>
      </c>
      <c r="P127">
        <f t="shared" si="15"/>
        <v>0</v>
      </c>
      <c r="Q127">
        <f t="shared" si="16"/>
        <v>0</v>
      </c>
      <c r="R127">
        <f t="shared" si="12"/>
        <v>0</v>
      </c>
      <c r="S127">
        <f t="shared" si="14"/>
        <v>1</v>
      </c>
      <c r="T127">
        <f>IF(Table2[[#This Row],[Access 2023]]="Hard to reach", 4, IF(Table2[[#This Row],[Access 2023]]="Partially Accessible", 3, 2))</f>
        <v>3</v>
      </c>
      <c r="U127">
        <v>4</v>
      </c>
      <c r="W127">
        <f>SUM(Table2[[#This Row],[PIN Score]],Table2[[#This Row],[Response 2023 Score]],Table2[[#This Row],[Neglected Locality Percentage Response]],Table2[[#This Row],[Security and Access]])</f>
        <v>8</v>
      </c>
      <c r="X127">
        <f t="shared" si="17"/>
        <v>5</v>
      </c>
    </row>
    <row r="128" spans="1:24" ht="24.6" x14ac:dyDescent="0.55000000000000004">
      <c r="A128" s="82" t="s">
        <v>453</v>
      </c>
      <c r="B128" s="81" t="s">
        <v>514</v>
      </c>
      <c r="C128" s="81" t="s">
        <v>377</v>
      </c>
      <c r="D128" s="76" t="s">
        <v>187</v>
      </c>
      <c r="E128" s="77">
        <v>447834</v>
      </c>
      <c r="F128" s="78">
        <v>37547</v>
      </c>
      <c r="G128" s="78"/>
      <c r="H128" s="78" t="s">
        <v>522</v>
      </c>
      <c r="I128" s="78">
        <v>266</v>
      </c>
      <c r="J128" s="78">
        <v>219</v>
      </c>
      <c r="K128">
        <v>0</v>
      </c>
      <c r="L128">
        <f>SUM(Table2[[#This Row],[2021 Reach]:[2023 Reach]])*5</f>
        <v>2425</v>
      </c>
      <c r="M128">
        <f>Table2[[#This Row],[2023 Reach]]*5</f>
        <v>0</v>
      </c>
      <c r="N128" s="79">
        <f>IFERROR(Table2[[#This Row],[2023 Reach People]]/Table2[[#This Row],[2023 Affected People]],0)</f>
        <v>0</v>
      </c>
      <c r="O128">
        <f t="shared" si="9"/>
        <v>1</v>
      </c>
      <c r="P128">
        <f t="shared" si="15"/>
        <v>0</v>
      </c>
      <c r="Q128">
        <f t="shared" si="16"/>
        <v>0</v>
      </c>
      <c r="R128">
        <f t="shared" si="12"/>
        <v>1</v>
      </c>
      <c r="S128">
        <f t="shared" si="14"/>
        <v>2</v>
      </c>
      <c r="T128">
        <f>IF(Table2[[#This Row],[Access 2023]]="Hard to reach", 4, IF(Table2[[#This Row],[Access 2023]]="Partially Accessible", 3, 2))</f>
        <v>3</v>
      </c>
      <c r="U128">
        <v>2</v>
      </c>
      <c r="W128">
        <f>SUM(Table2[[#This Row],[PIN Score]],Table2[[#This Row],[Response 2023 Score]],Table2[[#This Row],[Neglected Locality Percentage Response]],Table2[[#This Row],[Security and Access]])</f>
        <v>7</v>
      </c>
      <c r="X128">
        <f t="shared" si="17"/>
        <v>4</v>
      </c>
    </row>
    <row r="129" spans="1:24" ht="24.6" x14ac:dyDescent="0.55000000000000004">
      <c r="A129" s="82" t="s">
        <v>453</v>
      </c>
      <c r="B129" s="81" t="s">
        <v>514</v>
      </c>
      <c r="C129" s="81" t="s">
        <v>378</v>
      </c>
      <c r="D129" s="76" t="s">
        <v>188</v>
      </c>
      <c r="E129" s="77">
        <v>130143</v>
      </c>
      <c r="F129" s="78">
        <v>0</v>
      </c>
      <c r="G129" s="78"/>
      <c r="H129" s="78" t="s">
        <v>522</v>
      </c>
      <c r="I129" s="78">
        <v>1126</v>
      </c>
      <c r="J129" s="78">
        <v>102</v>
      </c>
      <c r="K129">
        <v>0</v>
      </c>
      <c r="L129">
        <f>SUM(Table2[[#This Row],[2021 Reach]:[2023 Reach]])*5</f>
        <v>6140</v>
      </c>
      <c r="M129">
        <f>Table2[[#This Row],[2023 Reach]]*5</f>
        <v>0</v>
      </c>
      <c r="N129" s="79">
        <f>IFERROR(Table2[[#This Row],[2023 Reach People]]/Table2[[#This Row],[2023 Affected People]],0)</f>
        <v>0</v>
      </c>
      <c r="O129">
        <f t="shared" si="9"/>
        <v>0</v>
      </c>
      <c r="P129">
        <f t="shared" si="15"/>
        <v>0</v>
      </c>
      <c r="Q129">
        <f t="shared" si="16"/>
        <v>0</v>
      </c>
      <c r="R129">
        <f t="shared" si="12"/>
        <v>1</v>
      </c>
      <c r="S129">
        <f t="shared" si="14"/>
        <v>2</v>
      </c>
      <c r="T129">
        <f>IF(Table2[[#This Row],[Access 2023]]="Hard to reach", 4, IF(Table2[[#This Row],[Access 2023]]="Partially Accessible", 3, 2))</f>
        <v>3</v>
      </c>
      <c r="U129">
        <v>2</v>
      </c>
      <c r="W129">
        <f>SUM(Table2[[#This Row],[PIN Score]],Table2[[#This Row],[Response 2023 Score]],Table2[[#This Row],[Neglected Locality Percentage Response]],Table2[[#This Row],[Security and Access]])</f>
        <v>6</v>
      </c>
      <c r="X129">
        <f t="shared" si="17"/>
        <v>3</v>
      </c>
    </row>
    <row r="130" spans="1:24" ht="24.6" x14ac:dyDescent="0.55000000000000004">
      <c r="A130" s="82" t="s">
        <v>453</v>
      </c>
      <c r="B130" s="81" t="s">
        <v>514</v>
      </c>
      <c r="C130" s="81" t="s">
        <v>379</v>
      </c>
      <c r="D130" s="76" t="s">
        <v>189</v>
      </c>
      <c r="E130" s="77">
        <v>180083</v>
      </c>
      <c r="F130" s="78">
        <v>19821</v>
      </c>
      <c r="G130" s="78"/>
      <c r="H130" s="78" t="s">
        <v>522</v>
      </c>
      <c r="I130" s="78">
        <v>0</v>
      </c>
      <c r="J130" s="78">
        <v>0</v>
      </c>
      <c r="K130">
        <v>0</v>
      </c>
      <c r="L130">
        <f>SUM(Table2[[#This Row],[2021 Reach]:[2023 Reach]])*5</f>
        <v>0</v>
      </c>
      <c r="M130">
        <f>Table2[[#This Row],[2023 Reach]]*5</f>
        <v>0</v>
      </c>
      <c r="N130" s="79">
        <f>IFERROR(Table2[[#This Row],[2023 Reach People]]/Table2[[#This Row],[2023 Affected People]],0)</f>
        <v>0</v>
      </c>
      <c r="O130">
        <f t="shared" ref="O130:O191" si="18">IF(F130&gt;250000,4,IF(F130&gt;150000,3,IF(F130&gt;100000,2,IF(F130&gt;0,1,0))))</f>
        <v>1</v>
      </c>
      <c r="P130">
        <f t="shared" ref="P130:P161" si="19">IF(I130=0,1,0)</f>
        <v>1</v>
      </c>
      <c r="Q130">
        <f t="shared" ref="Q130:Q161" si="20">IF(J130=0,1,0)</f>
        <v>1</v>
      </c>
      <c r="R130">
        <f t="shared" ref="R130:R191" si="21">IF(AND(E130&gt;0,K130=0),1,0)</f>
        <v>1</v>
      </c>
      <c r="S130">
        <f t="shared" si="14"/>
        <v>2</v>
      </c>
      <c r="T130">
        <f>IF(Table2[[#This Row],[Access 2023]]="Hard to reach", 4, IF(Table2[[#This Row],[Access 2023]]="Partially Accessible", 3, 2))</f>
        <v>3</v>
      </c>
      <c r="U130">
        <v>2</v>
      </c>
      <c r="W130">
        <f>SUM(Table2[[#This Row],[PIN Score]],Table2[[#This Row],[Response 2023 Score]],Table2[[#This Row],[Neglected Locality Percentage Response]],Table2[[#This Row],[Security and Access]])</f>
        <v>7</v>
      </c>
      <c r="X130">
        <f t="shared" ref="X130:X161" si="22">IF(W130&lt;=4, 1, IF(W130&lt;6, 2, IF(W130&lt;7, 3, IF(W130&lt;8, 4, 5))))</f>
        <v>4</v>
      </c>
    </row>
    <row r="131" spans="1:24" ht="24.6" x14ac:dyDescent="0.55000000000000004">
      <c r="A131" s="82" t="s">
        <v>453</v>
      </c>
      <c r="B131" s="81" t="s">
        <v>514</v>
      </c>
      <c r="C131" s="81" t="s">
        <v>380</v>
      </c>
      <c r="D131" s="76" t="s">
        <v>190</v>
      </c>
      <c r="E131" s="77">
        <v>303325</v>
      </c>
      <c r="F131" s="78">
        <v>101629</v>
      </c>
      <c r="G131" s="78"/>
      <c r="H131" s="78" t="s">
        <v>522</v>
      </c>
      <c r="I131" s="78">
        <v>6125</v>
      </c>
      <c r="J131" s="78">
        <v>1195</v>
      </c>
      <c r="K131">
        <v>0</v>
      </c>
      <c r="L131">
        <f>SUM(Table2[[#This Row],[2021 Reach]:[2023 Reach]])*5</f>
        <v>36600</v>
      </c>
      <c r="M131">
        <f>Table2[[#This Row],[2023 Reach]]*5</f>
        <v>0</v>
      </c>
      <c r="N131" s="79">
        <f>IFERROR(Table2[[#This Row],[2023 Reach People]]/Table2[[#This Row],[2023 Affected People]],0)</f>
        <v>0</v>
      </c>
      <c r="O131">
        <f t="shared" si="18"/>
        <v>2</v>
      </c>
      <c r="P131">
        <f t="shared" si="19"/>
        <v>0</v>
      </c>
      <c r="Q131">
        <f t="shared" si="20"/>
        <v>0</v>
      </c>
      <c r="R131">
        <f t="shared" si="21"/>
        <v>1</v>
      </c>
      <c r="S131">
        <f t="shared" ref="S131:S191" si="23">IF(N131&gt;50%,0,IF(N131&gt;0%,1,2))</f>
        <v>2</v>
      </c>
      <c r="T131">
        <f>IF(Table2[[#This Row],[Access 2023]]="Hard to reach", 4, IF(Table2[[#This Row],[Access 2023]]="Partially Accessible", 3, 2))</f>
        <v>3</v>
      </c>
      <c r="U131">
        <v>1</v>
      </c>
      <c r="W131">
        <f>SUM(Table2[[#This Row],[PIN Score]],Table2[[#This Row],[Response 2023 Score]],Table2[[#This Row],[Neglected Locality Percentage Response]],Table2[[#This Row],[Security and Access]])</f>
        <v>8</v>
      </c>
      <c r="X131">
        <f t="shared" si="22"/>
        <v>5</v>
      </c>
    </row>
    <row r="132" spans="1:24" ht="24.6" x14ac:dyDescent="0.55000000000000004">
      <c r="A132" s="82" t="s">
        <v>453</v>
      </c>
      <c r="B132" s="81" t="s">
        <v>514</v>
      </c>
      <c r="C132" s="81" t="s">
        <v>381</v>
      </c>
      <c r="D132" s="76" t="s">
        <v>191</v>
      </c>
      <c r="E132" s="77">
        <v>164961</v>
      </c>
      <c r="F132" s="78">
        <v>114080</v>
      </c>
      <c r="G132" s="78"/>
      <c r="H132" s="78" t="s">
        <v>522</v>
      </c>
      <c r="I132" s="78">
        <v>1500</v>
      </c>
      <c r="J132" s="78">
        <v>1000</v>
      </c>
      <c r="K132">
        <v>1000</v>
      </c>
      <c r="L132">
        <f>SUM(Table2[[#This Row],[2021 Reach]:[2023 Reach]])*5</f>
        <v>17500</v>
      </c>
      <c r="M132">
        <f>Table2[[#This Row],[2023 Reach]]*5</f>
        <v>5000</v>
      </c>
      <c r="N132" s="79">
        <f>IFERROR(Table2[[#This Row],[2023 Reach People]]/Table2[[#This Row],[2023 Affected People]],0)</f>
        <v>3.0310194530828498E-2</v>
      </c>
      <c r="O132">
        <f t="shared" si="18"/>
        <v>2</v>
      </c>
      <c r="P132">
        <f t="shared" si="19"/>
        <v>0</v>
      </c>
      <c r="Q132">
        <f t="shared" si="20"/>
        <v>0</v>
      </c>
      <c r="R132">
        <f t="shared" si="21"/>
        <v>0</v>
      </c>
      <c r="S132">
        <f t="shared" si="23"/>
        <v>1</v>
      </c>
      <c r="T132">
        <f>IF(Table2[[#This Row],[Access 2023]]="Hard to reach", 4, IF(Table2[[#This Row],[Access 2023]]="Partially Accessible", 3, 2))</f>
        <v>3</v>
      </c>
      <c r="U132">
        <v>3</v>
      </c>
      <c r="W132">
        <f>SUM(Table2[[#This Row],[PIN Score]],Table2[[#This Row],[Response 2023 Score]],Table2[[#This Row],[Neglected Locality Percentage Response]],Table2[[#This Row],[Security and Access]])</f>
        <v>6</v>
      </c>
      <c r="X132">
        <f t="shared" si="22"/>
        <v>3</v>
      </c>
    </row>
    <row r="133" spans="1:24" ht="24.6" x14ac:dyDescent="0.55000000000000004">
      <c r="A133" s="82" t="s">
        <v>453</v>
      </c>
      <c r="B133" s="81" t="s">
        <v>514</v>
      </c>
      <c r="C133" s="81" t="s">
        <v>382</v>
      </c>
      <c r="D133" s="76" t="s">
        <v>192</v>
      </c>
      <c r="E133" s="77">
        <v>75907</v>
      </c>
      <c r="F133" s="78">
        <v>0</v>
      </c>
      <c r="G133" s="78"/>
      <c r="H133" s="78" t="s">
        <v>522</v>
      </c>
      <c r="I133" s="78">
        <v>0</v>
      </c>
      <c r="J133" s="78">
        <v>286</v>
      </c>
      <c r="K133">
        <v>0</v>
      </c>
      <c r="L133">
        <f>SUM(Table2[[#This Row],[2021 Reach]:[2023 Reach]])*5</f>
        <v>1430</v>
      </c>
      <c r="M133">
        <f>Table2[[#This Row],[2023 Reach]]*5</f>
        <v>0</v>
      </c>
      <c r="N133" s="79">
        <f>IFERROR(Table2[[#This Row],[2023 Reach People]]/Table2[[#This Row],[2023 Affected People]],0)</f>
        <v>0</v>
      </c>
      <c r="O133">
        <f t="shared" si="18"/>
        <v>0</v>
      </c>
      <c r="P133">
        <f t="shared" si="19"/>
        <v>1</v>
      </c>
      <c r="Q133">
        <f t="shared" si="20"/>
        <v>0</v>
      </c>
      <c r="R133">
        <f t="shared" si="21"/>
        <v>1</v>
      </c>
      <c r="S133">
        <f t="shared" si="23"/>
        <v>2</v>
      </c>
      <c r="T133">
        <f>IF(Table2[[#This Row],[Access 2023]]="Hard to reach", 4, IF(Table2[[#This Row],[Access 2023]]="Partially Accessible", 3, 2))</f>
        <v>3</v>
      </c>
      <c r="U133">
        <v>2</v>
      </c>
      <c r="W133">
        <f>SUM(Table2[[#This Row],[PIN Score]],Table2[[#This Row],[Response 2023 Score]],Table2[[#This Row],[Neglected Locality Percentage Response]],Table2[[#This Row],[Security and Access]])</f>
        <v>6</v>
      </c>
      <c r="X133">
        <f t="shared" si="22"/>
        <v>3</v>
      </c>
    </row>
    <row r="134" spans="1:24" ht="24.6" x14ac:dyDescent="0.55000000000000004">
      <c r="A134" s="82" t="s">
        <v>453</v>
      </c>
      <c r="B134" s="81" t="s">
        <v>514</v>
      </c>
      <c r="C134" s="81" t="s">
        <v>383</v>
      </c>
      <c r="D134" s="76" t="s">
        <v>193</v>
      </c>
      <c r="E134" s="77">
        <v>116386</v>
      </c>
      <c r="F134" s="78">
        <v>19701</v>
      </c>
      <c r="G134" s="78"/>
      <c r="H134" s="78" t="s">
        <v>522</v>
      </c>
      <c r="I134" s="78">
        <v>0</v>
      </c>
      <c r="J134" s="78">
        <v>0</v>
      </c>
      <c r="K134">
        <v>0</v>
      </c>
      <c r="L134">
        <f>SUM(Table2[[#This Row],[2021 Reach]:[2023 Reach]])*5</f>
        <v>0</v>
      </c>
      <c r="M134">
        <f>Table2[[#This Row],[2023 Reach]]*5</f>
        <v>0</v>
      </c>
      <c r="N134" s="79">
        <f>IFERROR(Table2[[#This Row],[2023 Reach People]]/Table2[[#This Row],[2023 Affected People]],0)</f>
        <v>0</v>
      </c>
      <c r="O134">
        <f t="shared" si="18"/>
        <v>1</v>
      </c>
      <c r="P134">
        <f t="shared" si="19"/>
        <v>1</v>
      </c>
      <c r="Q134">
        <f t="shared" si="20"/>
        <v>1</v>
      </c>
      <c r="R134">
        <f t="shared" si="21"/>
        <v>1</v>
      </c>
      <c r="S134">
        <f t="shared" si="23"/>
        <v>2</v>
      </c>
      <c r="T134">
        <f>IF(Table2[[#This Row],[Access 2023]]="Hard to reach", 4, IF(Table2[[#This Row],[Access 2023]]="Partially Accessible", 3, 2))</f>
        <v>3</v>
      </c>
      <c r="U134">
        <v>2</v>
      </c>
      <c r="W134">
        <f>SUM(Table2[[#This Row],[PIN Score]],Table2[[#This Row],[Response 2023 Score]],Table2[[#This Row],[Neglected Locality Percentage Response]],Table2[[#This Row],[Security and Access]])</f>
        <v>7</v>
      </c>
      <c r="X134">
        <f t="shared" si="22"/>
        <v>4</v>
      </c>
    </row>
    <row r="135" spans="1:24" ht="24.6" x14ac:dyDescent="0.55000000000000004">
      <c r="A135" s="82" t="s">
        <v>453</v>
      </c>
      <c r="B135" s="81" t="s">
        <v>514</v>
      </c>
      <c r="C135" s="81" t="s">
        <v>384</v>
      </c>
      <c r="D135" s="76" t="s">
        <v>194</v>
      </c>
      <c r="E135" s="77">
        <v>137600</v>
      </c>
      <c r="F135" s="78">
        <v>42849</v>
      </c>
      <c r="G135" s="78"/>
      <c r="H135" s="78" t="s">
        <v>522</v>
      </c>
      <c r="I135" s="78">
        <v>3790</v>
      </c>
      <c r="J135" s="78">
        <v>0</v>
      </c>
      <c r="K135">
        <v>0</v>
      </c>
      <c r="L135">
        <f>SUM(Table2[[#This Row],[2021 Reach]:[2023 Reach]])*5</f>
        <v>18950</v>
      </c>
      <c r="M135">
        <f>Table2[[#This Row],[2023 Reach]]*5</f>
        <v>0</v>
      </c>
      <c r="N135" s="79">
        <f>IFERROR(Table2[[#This Row],[2023 Reach People]]/Table2[[#This Row],[2023 Affected People]],0)</f>
        <v>0</v>
      </c>
      <c r="O135">
        <f t="shared" si="18"/>
        <v>1</v>
      </c>
      <c r="P135">
        <f t="shared" si="19"/>
        <v>0</v>
      </c>
      <c r="Q135">
        <f t="shared" si="20"/>
        <v>1</v>
      </c>
      <c r="R135">
        <f t="shared" si="21"/>
        <v>1</v>
      </c>
      <c r="S135">
        <f t="shared" si="23"/>
        <v>2</v>
      </c>
      <c r="T135">
        <f>IF(Table2[[#This Row],[Access 2023]]="Hard to reach", 4, IF(Table2[[#This Row],[Access 2023]]="Partially Accessible", 3, 2))</f>
        <v>3</v>
      </c>
      <c r="U135">
        <v>3</v>
      </c>
      <c r="W135">
        <f>SUM(Table2[[#This Row],[PIN Score]],Table2[[#This Row],[Response 2023 Score]],Table2[[#This Row],[Neglected Locality Percentage Response]],Table2[[#This Row],[Security and Access]])</f>
        <v>7</v>
      </c>
      <c r="X135">
        <f t="shared" si="22"/>
        <v>4</v>
      </c>
    </row>
    <row r="136" spans="1:24" ht="24.6" x14ac:dyDescent="0.55000000000000004">
      <c r="A136" s="82" t="s">
        <v>453</v>
      </c>
      <c r="B136" s="81" t="s">
        <v>514</v>
      </c>
      <c r="C136" s="81" t="s">
        <v>385</v>
      </c>
      <c r="D136" s="76" t="s">
        <v>195</v>
      </c>
      <c r="E136" s="77">
        <v>203168</v>
      </c>
      <c r="F136" s="78">
        <v>9183</v>
      </c>
      <c r="G136" s="78"/>
      <c r="H136" s="78" t="s">
        <v>522</v>
      </c>
      <c r="I136" s="78">
        <v>0</v>
      </c>
      <c r="J136" s="78">
        <v>0</v>
      </c>
      <c r="K136">
        <v>0</v>
      </c>
      <c r="L136">
        <f>SUM(Table2[[#This Row],[2021 Reach]:[2023 Reach]])*5</f>
        <v>0</v>
      </c>
      <c r="M136">
        <f>Table2[[#This Row],[2023 Reach]]*5</f>
        <v>0</v>
      </c>
      <c r="N136" s="79">
        <f>IFERROR(Table2[[#This Row],[2023 Reach People]]/Table2[[#This Row],[2023 Affected People]],0)</f>
        <v>0</v>
      </c>
      <c r="O136">
        <f t="shared" si="18"/>
        <v>1</v>
      </c>
      <c r="P136">
        <f t="shared" si="19"/>
        <v>1</v>
      </c>
      <c r="Q136">
        <f t="shared" si="20"/>
        <v>1</v>
      </c>
      <c r="R136">
        <f t="shared" si="21"/>
        <v>1</v>
      </c>
      <c r="S136">
        <f t="shared" si="23"/>
        <v>2</v>
      </c>
      <c r="T136">
        <f>IF(Table2[[#This Row],[Access 2023]]="Hard to reach", 4, IF(Table2[[#This Row],[Access 2023]]="Partially Accessible", 3, 2))</f>
        <v>3</v>
      </c>
      <c r="U136">
        <v>2</v>
      </c>
      <c r="W136">
        <f>SUM(Table2[[#This Row],[PIN Score]],Table2[[#This Row],[Response 2023 Score]],Table2[[#This Row],[Neglected Locality Percentage Response]],Table2[[#This Row],[Security and Access]])</f>
        <v>7</v>
      </c>
      <c r="X136">
        <f t="shared" si="22"/>
        <v>4</v>
      </c>
    </row>
    <row r="137" spans="1:24" x14ac:dyDescent="0.55000000000000004">
      <c r="A137" s="82" t="s">
        <v>453</v>
      </c>
      <c r="B137" s="81" t="s">
        <v>514</v>
      </c>
      <c r="C137" s="81" t="s">
        <v>386</v>
      </c>
      <c r="D137" s="76" t="s">
        <v>196</v>
      </c>
      <c r="E137" s="77">
        <v>120331</v>
      </c>
      <c r="F137" s="78">
        <v>180227</v>
      </c>
      <c r="G137" s="78"/>
      <c r="H137" s="78" t="s">
        <v>520</v>
      </c>
      <c r="I137" s="78">
        <v>501</v>
      </c>
      <c r="J137" s="78">
        <v>5990</v>
      </c>
      <c r="K137">
        <v>60</v>
      </c>
      <c r="L137">
        <f>SUM(Table2[[#This Row],[2021 Reach]:[2023 Reach]])*5</f>
        <v>32755</v>
      </c>
      <c r="M137">
        <f>Table2[[#This Row],[2023 Reach]]*5</f>
        <v>300</v>
      </c>
      <c r="N137" s="79">
        <f>IFERROR(Table2[[#This Row],[2023 Reach People]]/Table2[[#This Row],[2023 Affected People]],0)</f>
        <v>2.4931231353516551E-3</v>
      </c>
      <c r="O137">
        <f t="shared" si="18"/>
        <v>3</v>
      </c>
      <c r="P137">
        <f t="shared" si="19"/>
        <v>0</v>
      </c>
      <c r="Q137">
        <f t="shared" si="20"/>
        <v>0</v>
      </c>
      <c r="R137">
        <f t="shared" si="21"/>
        <v>0</v>
      </c>
      <c r="S137">
        <f t="shared" si="23"/>
        <v>1</v>
      </c>
      <c r="T137">
        <f>IF(Table2[[#This Row],[Access 2023]]="Hard to reach", 4, IF(Table2[[#This Row],[Access 2023]]="Partially Accessible", 3, 2))</f>
        <v>4</v>
      </c>
      <c r="U137">
        <v>5</v>
      </c>
      <c r="W137">
        <f>SUM(Table2[[#This Row],[PIN Score]],Table2[[#This Row],[Response 2023 Score]],Table2[[#This Row],[Neglected Locality Percentage Response]],Table2[[#This Row],[Security and Access]])</f>
        <v>8</v>
      </c>
      <c r="X137">
        <f t="shared" si="22"/>
        <v>5</v>
      </c>
    </row>
    <row r="138" spans="1:24" x14ac:dyDescent="0.55000000000000004">
      <c r="A138" s="82" t="s">
        <v>453</v>
      </c>
      <c r="B138" s="81" t="s">
        <v>514</v>
      </c>
      <c r="C138" s="81" t="s">
        <v>387</v>
      </c>
      <c r="D138" s="76" t="s">
        <v>197</v>
      </c>
      <c r="E138" s="77">
        <v>149402</v>
      </c>
      <c r="F138" s="78">
        <v>273907</v>
      </c>
      <c r="G138" s="78"/>
      <c r="H138" s="78" t="s">
        <v>520</v>
      </c>
      <c r="I138" s="78">
        <v>1537</v>
      </c>
      <c r="J138" s="78">
        <v>2139</v>
      </c>
      <c r="K138">
        <v>3600</v>
      </c>
      <c r="L138">
        <f>SUM(Table2[[#This Row],[2021 Reach]:[2023 Reach]])*5</f>
        <v>36380</v>
      </c>
      <c r="M138">
        <f>Table2[[#This Row],[2023 Reach]]*5</f>
        <v>18000</v>
      </c>
      <c r="N138" s="79">
        <f>IFERROR(Table2[[#This Row],[2023 Reach People]]/Table2[[#This Row],[2023 Affected People]],0)</f>
        <v>0.12048031485522283</v>
      </c>
      <c r="O138">
        <f t="shared" si="18"/>
        <v>4</v>
      </c>
      <c r="P138">
        <f t="shared" si="19"/>
        <v>0</v>
      </c>
      <c r="Q138">
        <f t="shared" si="20"/>
        <v>0</v>
      </c>
      <c r="R138">
        <f t="shared" si="21"/>
        <v>0</v>
      </c>
      <c r="S138">
        <f t="shared" si="23"/>
        <v>1</v>
      </c>
      <c r="T138">
        <f>IF(Table2[[#This Row],[Access 2023]]="Hard to reach", 4, IF(Table2[[#This Row],[Access 2023]]="Partially Accessible", 3, 2))</f>
        <v>4</v>
      </c>
      <c r="U138">
        <v>1</v>
      </c>
      <c r="W138">
        <f>SUM(Table2[[#This Row],[PIN Score]],Table2[[#This Row],[Response 2023 Score]],Table2[[#This Row],[Neglected Locality Percentage Response]],Table2[[#This Row],[Security and Access]])</f>
        <v>9</v>
      </c>
      <c r="X138">
        <f t="shared" si="22"/>
        <v>5</v>
      </c>
    </row>
    <row r="139" spans="1:24" ht="24.6" x14ac:dyDescent="0.55000000000000004">
      <c r="A139" s="82" t="s">
        <v>453</v>
      </c>
      <c r="B139" s="81" t="s">
        <v>514</v>
      </c>
      <c r="C139" s="81" t="s">
        <v>388</v>
      </c>
      <c r="D139" s="76" t="s">
        <v>198</v>
      </c>
      <c r="E139" s="77">
        <v>177110</v>
      </c>
      <c r="F139" s="78">
        <v>23158</v>
      </c>
      <c r="G139" s="78"/>
      <c r="H139" s="78" t="s">
        <v>522</v>
      </c>
      <c r="I139" s="78">
        <v>0</v>
      </c>
      <c r="J139" s="78">
        <v>0</v>
      </c>
      <c r="K139">
        <v>0</v>
      </c>
      <c r="L139">
        <f>SUM(Table2[[#This Row],[2021 Reach]:[2023 Reach]])*5</f>
        <v>0</v>
      </c>
      <c r="M139">
        <f>Table2[[#This Row],[2023 Reach]]*5</f>
        <v>0</v>
      </c>
      <c r="N139" s="79">
        <f>IFERROR(Table2[[#This Row],[2023 Reach People]]/Table2[[#This Row],[2023 Affected People]],0)</f>
        <v>0</v>
      </c>
      <c r="O139">
        <f t="shared" si="18"/>
        <v>1</v>
      </c>
      <c r="P139">
        <f t="shared" si="19"/>
        <v>1</v>
      </c>
      <c r="Q139">
        <f t="shared" si="20"/>
        <v>1</v>
      </c>
      <c r="R139">
        <f t="shared" si="21"/>
        <v>1</v>
      </c>
      <c r="S139">
        <f t="shared" si="23"/>
        <v>2</v>
      </c>
      <c r="T139">
        <f>IF(Table2[[#This Row],[Access 2023]]="Hard to reach", 4, IF(Table2[[#This Row],[Access 2023]]="Partially Accessible", 3, 2))</f>
        <v>3</v>
      </c>
      <c r="U139">
        <v>2</v>
      </c>
      <c r="W139">
        <f>SUM(Table2[[#This Row],[PIN Score]],Table2[[#This Row],[Response 2023 Score]],Table2[[#This Row],[Neglected Locality Percentage Response]],Table2[[#This Row],[Security and Access]])</f>
        <v>7</v>
      </c>
      <c r="X139">
        <f t="shared" si="22"/>
        <v>4</v>
      </c>
    </row>
    <row r="140" spans="1:24" ht="24.6" x14ac:dyDescent="0.55000000000000004">
      <c r="A140" s="82" t="s">
        <v>453</v>
      </c>
      <c r="B140" s="81" t="s">
        <v>514</v>
      </c>
      <c r="C140" s="81" t="s">
        <v>389</v>
      </c>
      <c r="D140" s="76" t="s">
        <v>199</v>
      </c>
      <c r="E140" s="77">
        <v>230004</v>
      </c>
      <c r="F140" s="78">
        <v>3606</v>
      </c>
      <c r="G140" s="78"/>
      <c r="H140" s="78" t="s">
        <v>522</v>
      </c>
      <c r="I140" s="78">
        <v>0</v>
      </c>
      <c r="J140" s="78">
        <v>2000</v>
      </c>
      <c r="K140">
        <v>0</v>
      </c>
      <c r="L140">
        <f>SUM(Table2[[#This Row],[2021 Reach]:[2023 Reach]])*5</f>
        <v>10000</v>
      </c>
      <c r="M140">
        <f>Table2[[#This Row],[2023 Reach]]*5</f>
        <v>0</v>
      </c>
      <c r="N140" s="79">
        <f>IFERROR(Table2[[#This Row],[2023 Reach People]]/Table2[[#This Row],[2023 Affected People]],0)</f>
        <v>0</v>
      </c>
      <c r="O140">
        <f t="shared" si="18"/>
        <v>1</v>
      </c>
      <c r="P140">
        <f t="shared" si="19"/>
        <v>1</v>
      </c>
      <c r="Q140">
        <f t="shared" si="20"/>
        <v>0</v>
      </c>
      <c r="R140">
        <f t="shared" si="21"/>
        <v>1</v>
      </c>
      <c r="S140">
        <f t="shared" si="23"/>
        <v>2</v>
      </c>
      <c r="T140">
        <f>IF(Table2[[#This Row],[Access 2023]]="Hard to reach", 4, IF(Table2[[#This Row],[Access 2023]]="Partially Accessible", 3, 2))</f>
        <v>3</v>
      </c>
      <c r="U140">
        <v>3</v>
      </c>
      <c r="W140">
        <f>SUM(Table2[[#This Row],[PIN Score]],Table2[[#This Row],[Response 2023 Score]],Table2[[#This Row],[Neglected Locality Percentage Response]],Table2[[#This Row],[Security and Access]])</f>
        <v>7</v>
      </c>
      <c r="X140">
        <f t="shared" si="22"/>
        <v>4</v>
      </c>
    </row>
    <row r="141" spans="1:24" ht="24.6" x14ac:dyDescent="0.55000000000000004">
      <c r="A141" s="82" t="s">
        <v>453</v>
      </c>
      <c r="B141" s="81" t="s">
        <v>514</v>
      </c>
      <c r="C141" s="81" t="s">
        <v>390</v>
      </c>
      <c r="D141" s="76" t="s">
        <v>200</v>
      </c>
      <c r="E141" s="77">
        <v>108761</v>
      </c>
      <c r="F141" s="78">
        <v>0</v>
      </c>
      <c r="G141" s="78"/>
      <c r="H141" s="78" t="s">
        <v>522</v>
      </c>
      <c r="I141" s="78">
        <v>0</v>
      </c>
      <c r="J141" s="78">
        <v>0</v>
      </c>
      <c r="K141">
        <v>0</v>
      </c>
      <c r="L141">
        <f>SUM(Table2[[#This Row],[2021 Reach]:[2023 Reach]])*5</f>
        <v>0</v>
      </c>
      <c r="M141">
        <f>Table2[[#This Row],[2023 Reach]]*5</f>
        <v>0</v>
      </c>
      <c r="N141" s="79">
        <f>IFERROR(Table2[[#This Row],[2023 Reach People]]/Table2[[#This Row],[2023 Affected People]],0)</f>
        <v>0</v>
      </c>
      <c r="O141">
        <f t="shared" si="18"/>
        <v>0</v>
      </c>
      <c r="P141">
        <f t="shared" si="19"/>
        <v>1</v>
      </c>
      <c r="Q141">
        <f t="shared" si="20"/>
        <v>1</v>
      </c>
      <c r="R141">
        <f t="shared" si="21"/>
        <v>1</v>
      </c>
      <c r="S141">
        <f t="shared" si="23"/>
        <v>2</v>
      </c>
      <c r="T141">
        <f>IF(Table2[[#This Row],[Access 2023]]="Hard to reach", 4, IF(Table2[[#This Row],[Access 2023]]="Partially Accessible", 3, 2))</f>
        <v>3</v>
      </c>
      <c r="U141">
        <v>1</v>
      </c>
      <c r="W141">
        <f>SUM(Table2[[#This Row],[PIN Score]],Table2[[#This Row],[Response 2023 Score]],Table2[[#This Row],[Neglected Locality Percentage Response]],Table2[[#This Row],[Security and Access]])</f>
        <v>6</v>
      </c>
      <c r="X141">
        <f t="shared" si="22"/>
        <v>3</v>
      </c>
    </row>
    <row r="142" spans="1:24" ht="24.6" x14ac:dyDescent="0.55000000000000004">
      <c r="A142" s="82" t="s">
        <v>453</v>
      </c>
      <c r="B142" s="81" t="s">
        <v>514</v>
      </c>
      <c r="C142" s="81" t="s">
        <v>391</v>
      </c>
      <c r="D142" s="76" t="s">
        <v>201</v>
      </c>
      <c r="E142" s="77">
        <v>110661</v>
      </c>
      <c r="F142" s="78">
        <v>29265</v>
      </c>
      <c r="G142" s="78"/>
      <c r="H142" s="78" t="s">
        <v>522</v>
      </c>
      <c r="I142" s="78">
        <v>104</v>
      </c>
      <c r="J142" s="78">
        <v>170</v>
      </c>
      <c r="K142">
        <v>0</v>
      </c>
      <c r="L142">
        <f>SUM(Table2[[#This Row],[2021 Reach]:[2023 Reach]])*5</f>
        <v>1370</v>
      </c>
      <c r="M142">
        <f>Table2[[#This Row],[2023 Reach]]*5</f>
        <v>0</v>
      </c>
      <c r="N142" s="79">
        <f>IFERROR(Table2[[#This Row],[2023 Reach People]]/Table2[[#This Row],[2023 Affected People]],0)</f>
        <v>0</v>
      </c>
      <c r="O142">
        <f t="shared" si="18"/>
        <v>1</v>
      </c>
      <c r="P142">
        <f t="shared" si="19"/>
        <v>0</v>
      </c>
      <c r="Q142">
        <f t="shared" si="20"/>
        <v>0</v>
      </c>
      <c r="R142">
        <f t="shared" si="21"/>
        <v>1</v>
      </c>
      <c r="S142">
        <f t="shared" si="23"/>
        <v>2</v>
      </c>
      <c r="T142">
        <f>IF(Table2[[#This Row],[Access 2023]]="Hard to reach", 4, IF(Table2[[#This Row],[Access 2023]]="Partially Accessible", 3, 2))</f>
        <v>3</v>
      </c>
      <c r="U142">
        <v>2</v>
      </c>
      <c r="W142">
        <f>SUM(Table2[[#This Row],[PIN Score]],Table2[[#This Row],[Response 2023 Score]],Table2[[#This Row],[Neglected Locality Percentage Response]],Table2[[#This Row],[Security and Access]])</f>
        <v>7</v>
      </c>
      <c r="X142">
        <f t="shared" si="22"/>
        <v>4</v>
      </c>
    </row>
    <row r="143" spans="1:24" ht="24.6" x14ac:dyDescent="0.55000000000000004">
      <c r="A143" s="82" t="s">
        <v>453</v>
      </c>
      <c r="B143" s="81" t="s">
        <v>514</v>
      </c>
      <c r="C143" s="81" t="s">
        <v>392</v>
      </c>
      <c r="D143" s="76" t="s">
        <v>202</v>
      </c>
      <c r="E143" s="77">
        <v>19634</v>
      </c>
      <c r="F143" s="78">
        <v>9008</v>
      </c>
      <c r="G143" s="78"/>
      <c r="H143" s="78" t="s">
        <v>522</v>
      </c>
      <c r="I143" s="78">
        <v>683</v>
      </c>
      <c r="J143" s="78">
        <v>2001</v>
      </c>
      <c r="K143">
        <v>0</v>
      </c>
      <c r="L143">
        <f>SUM(Table2[[#This Row],[2021 Reach]:[2023 Reach]])*5</f>
        <v>13420</v>
      </c>
      <c r="M143">
        <f>Table2[[#This Row],[2023 Reach]]*5</f>
        <v>0</v>
      </c>
      <c r="N143" s="79">
        <f>IFERROR(Table2[[#This Row],[2023 Reach People]]/Table2[[#This Row],[2023 Affected People]],0)</f>
        <v>0</v>
      </c>
      <c r="O143">
        <f t="shared" si="18"/>
        <v>1</v>
      </c>
      <c r="P143">
        <f t="shared" si="19"/>
        <v>0</v>
      </c>
      <c r="Q143">
        <f t="shared" si="20"/>
        <v>0</v>
      </c>
      <c r="R143">
        <f t="shared" si="21"/>
        <v>1</v>
      </c>
      <c r="S143">
        <f t="shared" si="23"/>
        <v>2</v>
      </c>
      <c r="T143">
        <f>IF(Table2[[#This Row],[Access 2023]]="Hard to reach", 4, IF(Table2[[#This Row],[Access 2023]]="Partially Accessible", 3, 2))</f>
        <v>3</v>
      </c>
      <c r="U143">
        <v>2</v>
      </c>
      <c r="W143">
        <f>SUM(Table2[[#This Row],[PIN Score]],Table2[[#This Row],[Response 2023 Score]],Table2[[#This Row],[Neglected Locality Percentage Response]],Table2[[#This Row],[Security and Access]])</f>
        <v>7</v>
      </c>
      <c r="X143">
        <f t="shared" si="22"/>
        <v>4</v>
      </c>
    </row>
    <row r="144" spans="1:24" x14ac:dyDescent="0.55000000000000004">
      <c r="A144" s="82" t="s">
        <v>454</v>
      </c>
      <c r="B144" s="81" t="s">
        <v>515</v>
      </c>
      <c r="C144" s="81" t="s">
        <v>393</v>
      </c>
      <c r="D144" s="76" t="s">
        <v>203</v>
      </c>
      <c r="E144" s="77">
        <v>86426</v>
      </c>
      <c r="F144" s="78">
        <v>19928</v>
      </c>
      <c r="G144" s="78"/>
      <c r="H144" s="78" t="s">
        <v>521</v>
      </c>
      <c r="I144" s="78">
        <v>0</v>
      </c>
      <c r="J144" s="78">
        <v>0</v>
      </c>
      <c r="K144">
        <v>0</v>
      </c>
      <c r="L144">
        <f>SUM(Table2[[#This Row],[2021 Reach]:[2023 Reach]])*5</f>
        <v>0</v>
      </c>
      <c r="M144">
        <f>Table2[[#This Row],[2023 Reach]]*5</f>
        <v>0</v>
      </c>
      <c r="N144" s="79">
        <f>IFERROR(Table2[[#This Row],[2023 Reach People]]/Table2[[#This Row],[2023 Affected People]],0)</f>
        <v>0</v>
      </c>
      <c r="O144">
        <f t="shared" si="18"/>
        <v>1</v>
      </c>
      <c r="P144">
        <f t="shared" si="19"/>
        <v>1</v>
      </c>
      <c r="Q144">
        <f t="shared" si="20"/>
        <v>1</v>
      </c>
      <c r="R144">
        <f t="shared" si="21"/>
        <v>1</v>
      </c>
      <c r="S144">
        <f t="shared" si="23"/>
        <v>2</v>
      </c>
      <c r="T144">
        <f>IF(Table2[[#This Row],[Access 2023]]="Hard to reach", 4, IF(Table2[[#This Row],[Access 2023]]="Partially Accessible", 3, 2))</f>
        <v>2</v>
      </c>
      <c r="U144">
        <v>2</v>
      </c>
      <c r="W144">
        <f>SUM(Table2[[#This Row],[PIN Score]],Table2[[#This Row],[Response 2023 Score]],Table2[[#This Row],[Neglected Locality Percentage Response]],Table2[[#This Row],[Security and Access]])</f>
        <v>6</v>
      </c>
      <c r="X144">
        <f t="shared" si="22"/>
        <v>3</v>
      </c>
    </row>
    <row r="145" spans="1:24" x14ac:dyDescent="0.55000000000000004">
      <c r="A145" s="82" t="s">
        <v>454</v>
      </c>
      <c r="B145" s="81" t="s">
        <v>515</v>
      </c>
      <c r="C145" s="81" t="s">
        <v>394</v>
      </c>
      <c r="D145" s="76" t="s">
        <v>204</v>
      </c>
      <c r="E145" s="77">
        <v>34880</v>
      </c>
      <c r="F145" s="78">
        <v>62227</v>
      </c>
      <c r="G145" s="78"/>
      <c r="H145" s="78" t="s">
        <v>521</v>
      </c>
      <c r="I145" s="78">
        <v>108</v>
      </c>
      <c r="J145" s="78">
        <v>1704</v>
      </c>
      <c r="K145">
        <v>500</v>
      </c>
      <c r="L145">
        <f>SUM(Table2[[#This Row],[2021 Reach]:[2023 Reach]])*5</f>
        <v>11560</v>
      </c>
      <c r="M145">
        <f>Table2[[#This Row],[2023 Reach]]*5</f>
        <v>2500</v>
      </c>
      <c r="N145" s="79">
        <f>IFERROR(Table2[[#This Row],[2023 Reach People]]/Table2[[#This Row],[2023 Affected People]],0)</f>
        <v>7.1674311926605505E-2</v>
      </c>
      <c r="O145">
        <f t="shared" si="18"/>
        <v>1</v>
      </c>
      <c r="P145">
        <f t="shared" si="19"/>
        <v>0</v>
      </c>
      <c r="Q145">
        <f t="shared" si="20"/>
        <v>0</v>
      </c>
      <c r="R145">
        <f t="shared" si="21"/>
        <v>0</v>
      </c>
      <c r="S145">
        <f t="shared" si="23"/>
        <v>1</v>
      </c>
      <c r="T145">
        <f>IF(Table2[[#This Row],[Access 2023]]="Hard to reach", 4, IF(Table2[[#This Row],[Access 2023]]="Partially Accessible", 3, 2))</f>
        <v>2</v>
      </c>
      <c r="U145">
        <v>2</v>
      </c>
      <c r="W145">
        <f>SUM(Table2[[#This Row],[PIN Score]],Table2[[#This Row],[Response 2023 Score]],Table2[[#This Row],[Neglected Locality Percentage Response]],Table2[[#This Row],[Security and Access]])</f>
        <v>4</v>
      </c>
      <c r="X145">
        <f t="shared" si="22"/>
        <v>1</v>
      </c>
    </row>
    <row r="146" spans="1:24" x14ac:dyDescent="0.55000000000000004">
      <c r="A146" s="82" t="s">
        <v>454</v>
      </c>
      <c r="B146" s="81" t="s">
        <v>515</v>
      </c>
      <c r="C146" s="81" t="s">
        <v>395</v>
      </c>
      <c r="D146" s="76" t="s">
        <v>205</v>
      </c>
      <c r="E146" s="77">
        <v>110332</v>
      </c>
      <c r="F146" s="78">
        <v>24236</v>
      </c>
      <c r="G146" s="78"/>
      <c r="H146" s="78" t="s">
        <v>520</v>
      </c>
      <c r="I146" s="78">
        <v>0</v>
      </c>
      <c r="J146" s="78">
        <v>454</v>
      </c>
      <c r="K146">
        <v>0</v>
      </c>
      <c r="L146">
        <f>SUM(Table2[[#This Row],[2021 Reach]:[2023 Reach]])*5</f>
        <v>2270</v>
      </c>
      <c r="M146">
        <f>Table2[[#This Row],[2023 Reach]]*5</f>
        <v>0</v>
      </c>
      <c r="N146" s="79">
        <f>IFERROR(Table2[[#This Row],[2023 Reach People]]/Table2[[#This Row],[2023 Affected People]],0)</f>
        <v>0</v>
      </c>
      <c r="O146">
        <f t="shared" si="18"/>
        <v>1</v>
      </c>
      <c r="P146">
        <f t="shared" si="19"/>
        <v>1</v>
      </c>
      <c r="Q146">
        <f t="shared" si="20"/>
        <v>0</v>
      </c>
      <c r="R146">
        <f t="shared" si="21"/>
        <v>1</v>
      </c>
      <c r="S146">
        <f t="shared" si="23"/>
        <v>2</v>
      </c>
      <c r="T146">
        <f>IF(Table2[[#This Row],[Access 2023]]="Hard to reach", 4, IF(Table2[[#This Row],[Access 2023]]="Partially Accessible", 3, 2))</f>
        <v>4</v>
      </c>
      <c r="U146">
        <v>2</v>
      </c>
      <c r="W146">
        <f>SUM(Table2[[#This Row],[PIN Score]],Table2[[#This Row],[Response 2023 Score]],Table2[[#This Row],[Neglected Locality Percentage Response]],Table2[[#This Row],[Security and Access]])</f>
        <v>8</v>
      </c>
      <c r="X146">
        <f t="shared" si="22"/>
        <v>5</v>
      </c>
    </row>
    <row r="147" spans="1:24" x14ac:dyDescent="0.55000000000000004">
      <c r="A147" s="82" t="s">
        <v>454</v>
      </c>
      <c r="B147" s="81" t="s">
        <v>515</v>
      </c>
      <c r="C147" s="81" t="s">
        <v>396</v>
      </c>
      <c r="D147" s="76" t="s">
        <v>206</v>
      </c>
      <c r="E147" s="77">
        <v>157288</v>
      </c>
      <c r="F147" s="78">
        <v>22955</v>
      </c>
      <c r="G147" s="78"/>
      <c r="H147" s="78" t="s">
        <v>520</v>
      </c>
      <c r="I147" s="78">
        <v>0</v>
      </c>
      <c r="J147" s="78">
        <v>0</v>
      </c>
      <c r="K147">
        <v>0</v>
      </c>
      <c r="L147">
        <f>SUM(Table2[[#This Row],[2021 Reach]:[2023 Reach]])*5</f>
        <v>0</v>
      </c>
      <c r="M147">
        <f>Table2[[#This Row],[2023 Reach]]*5</f>
        <v>0</v>
      </c>
      <c r="N147" s="79">
        <f>IFERROR(Table2[[#This Row],[2023 Reach People]]/Table2[[#This Row],[2023 Affected People]],0)</f>
        <v>0</v>
      </c>
      <c r="O147">
        <f t="shared" si="18"/>
        <v>1</v>
      </c>
      <c r="P147">
        <f t="shared" si="19"/>
        <v>1</v>
      </c>
      <c r="Q147">
        <f t="shared" si="20"/>
        <v>1</v>
      </c>
      <c r="R147">
        <f t="shared" si="21"/>
        <v>1</v>
      </c>
      <c r="S147">
        <f t="shared" si="23"/>
        <v>2</v>
      </c>
      <c r="T147">
        <f>IF(Table2[[#This Row],[Access 2023]]="Hard to reach", 4, IF(Table2[[#This Row],[Access 2023]]="Partially Accessible", 3, 2))</f>
        <v>4</v>
      </c>
      <c r="U147">
        <v>1</v>
      </c>
      <c r="W147">
        <f>SUM(Table2[[#This Row],[PIN Score]],Table2[[#This Row],[Response 2023 Score]],Table2[[#This Row],[Neglected Locality Percentage Response]],Table2[[#This Row],[Security and Access]])</f>
        <v>8</v>
      </c>
      <c r="X147">
        <f t="shared" si="22"/>
        <v>5</v>
      </c>
    </row>
    <row r="148" spans="1:24" x14ac:dyDescent="0.55000000000000004">
      <c r="A148" s="82" t="s">
        <v>454</v>
      </c>
      <c r="B148" s="81" t="s">
        <v>515</v>
      </c>
      <c r="C148" s="81" t="s">
        <v>397</v>
      </c>
      <c r="D148" s="76" t="s">
        <v>207</v>
      </c>
      <c r="E148" s="77">
        <v>177091</v>
      </c>
      <c r="F148" s="78">
        <v>9197</v>
      </c>
      <c r="G148" s="78"/>
      <c r="H148" s="78" t="s">
        <v>521</v>
      </c>
      <c r="I148" s="78">
        <v>0</v>
      </c>
      <c r="J148" s="78">
        <v>378</v>
      </c>
      <c r="K148">
        <v>0</v>
      </c>
      <c r="L148">
        <f>SUM(Table2[[#This Row],[2021 Reach]:[2023 Reach]])*5</f>
        <v>1890</v>
      </c>
      <c r="M148">
        <f>Table2[[#This Row],[2023 Reach]]*5</f>
        <v>0</v>
      </c>
      <c r="N148" s="79">
        <f>IFERROR(Table2[[#This Row],[2023 Reach People]]/Table2[[#This Row],[2023 Affected People]],0)</f>
        <v>0</v>
      </c>
      <c r="O148">
        <f t="shared" si="18"/>
        <v>1</v>
      </c>
      <c r="P148">
        <f t="shared" si="19"/>
        <v>1</v>
      </c>
      <c r="Q148">
        <f t="shared" si="20"/>
        <v>0</v>
      </c>
      <c r="R148">
        <f t="shared" si="21"/>
        <v>1</v>
      </c>
      <c r="S148">
        <f t="shared" si="23"/>
        <v>2</v>
      </c>
      <c r="T148">
        <f>IF(Table2[[#This Row],[Access 2023]]="Hard to reach", 4, IF(Table2[[#This Row],[Access 2023]]="Partially Accessible", 3, 2))</f>
        <v>2</v>
      </c>
      <c r="U148">
        <v>2</v>
      </c>
      <c r="W148">
        <f>SUM(Table2[[#This Row],[PIN Score]],Table2[[#This Row],[Response 2023 Score]],Table2[[#This Row],[Neglected Locality Percentage Response]],Table2[[#This Row],[Security and Access]])</f>
        <v>6</v>
      </c>
      <c r="X148">
        <f t="shared" si="22"/>
        <v>3</v>
      </c>
    </row>
    <row r="149" spans="1:24" x14ac:dyDescent="0.55000000000000004">
      <c r="A149" s="82" t="s">
        <v>454</v>
      </c>
      <c r="B149" s="81" t="s">
        <v>515</v>
      </c>
      <c r="C149" s="81" t="s">
        <v>398</v>
      </c>
      <c r="D149" s="76" t="s">
        <v>208</v>
      </c>
      <c r="E149" s="77">
        <v>146480.79999999999</v>
      </c>
      <c r="F149" s="78">
        <v>0</v>
      </c>
      <c r="G149" s="78"/>
      <c r="H149" s="78" t="s">
        <v>521</v>
      </c>
      <c r="I149" s="78">
        <v>0</v>
      </c>
      <c r="J149" s="78">
        <v>0</v>
      </c>
      <c r="K149">
        <v>0</v>
      </c>
      <c r="L149">
        <f>SUM(Table2[[#This Row],[2021 Reach]:[2023 Reach]])*5</f>
        <v>0</v>
      </c>
      <c r="M149">
        <f>Table2[[#This Row],[2023 Reach]]*5</f>
        <v>0</v>
      </c>
      <c r="N149" s="79">
        <f>IFERROR(Table2[[#This Row],[2023 Reach People]]/Table2[[#This Row],[2023 Affected People]],0)</f>
        <v>0</v>
      </c>
      <c r="O149">
        <f t="shared" si="18"/>
        <v>0</v>
      </c>
      <c r="P149">
        <f t="shared" si="19"/>
        <v>1</v>
      </c>
      <c r="Q149">
        <f t="shared" si="20"/>
        <v>1</v>
      </c>
      <c r="R149">
        <f t="shared" si="21"/>
        <v>1</v>
      </c>
      <c r="S149">
        <f t="shared" si="23"/>
        <v>2</v>
      </c>
      <c r="T149">
        <f>IF(Table2[[#This Row],[Access 2023]]="Hard to reach", 4, IF(Table2[[#This Row],[Access 2023]]="Partially Accessible", 3, 2))</f>
        <v>2</v>
      </c>
      <c r="U149">
        <v>2</v>
      </c>
      <c r="W149">
        <f>SUM(Table2[[#This Row],[PIN Score]],Table2[[#This Row],[Response 2023 Score]],Table2[[#This Row],[Neglected Locality Percentage Response]],Table2[[#This Row],[Security and Access]])</f>
        <v>5</v>
      </c>
      <c r="X149">
        <f t="shared" si="22"/>
        <v>2</v>
      </c>
    </row>
    <row r="150" spans="1:24" x14ac:dyDescent="0.55000000000000004">
      <c r="A150" s="82" t="s">
        <v>454</v>
      </c>
      <c r="B150" s="81" t="s">
        <v>515</v>
      </c>
      <c r="C150" s="81" t="s">
        <v>399</v>
      </c>
      <c r="D150" s="76" t="s">
        <v>209</v>
      </c>
      <c r="E150" s="77">
        <v>220831.2</v>
      </c>
      <c r="F150" s="78">
        <v>8076</v>
      </c>
      <c r="G150" s="78"/>
      <c r="H150" s="78" t="s">
        <v>521</v>
      </c>
      <c r="I150" s="78">
        <v>4224</v>
      </c>
      <c r="J150" s="78">
        <v>790</v>
      </c>
      <c r="K150">
        <v>0</v>
      </c>
      <c r="L150">
        <f>SUM(Table2[[#This Row],[2021 Reach]:[2023 Reach]])*5</f>
        <v>25070</v>
      </c>
      <c r="M150">
        <f>Table2[[#This Row],[2023 Reach]]*5</f>
        <v>0</v>
      </c>
      <c r="N150" s="79">
        <f>IFERROR(Table2[[#This Row],[2023 Reach People]]/Table2[[#This Row],[2023 Affected People]],0)</f>
        <v>0</v>
      </c>
      <c r="O150">
        <f t="shared" si="18"/>
        <v>1</v>
      </c>
      <c r="P150">
        <f t="shared" si="19"/>
        <v>0</v>
      </c>
      <c r="Q150">
        <f t="shared" si="20"/>
        <v>0</v>
      </c>
      <c r="R150">
        <f t="shared" si="21"/>
        <v>1</v>
      </c>
      <c r="S150">
        <f t="shared" si="23"/>
        <v>2</v>
      </c>
      <c r="T150">
        <f>IF(Table2[[#This Row],[Access 2023]]="Hard to reach", 4, IF(Table2[[#This Row],[Access 2023]]="Partially Accessible", 3, 2))</f>
        <v>2</v>
      </c>
      <c r="U150">
        <v>2</v>
      </c>
      <c r="W150">
        <f>SUM(Table2[[#This Row],[PIN Score]],Table2[[#This Row],[Response 2023 Score]],Table2[[#This Row],[Neglected Locality Percentage Response]],Table2[[#This Row],[Security and Access]])</f>
        <v>6</v>
      </c>
      <c r="X150">
        <f t="shared" si="22"/>
        <v>3</v>
      </c>
    </row>
    <row r="151" spans="1:24" ht="27.6" x14ac:dyDescent="0.55000000000000004">
      <c r="A151" s="82" t="s">
        <v>454</v>
      </c>
      <c r="B151" s="81" t="s">
        <v>515</v>
      </c>
      <c r="C151" s="81" t="s">
        <v>400</v>
      </c>
      <c r="D151" s="76" t="s">
        <v>210</v>
      </c>
      <c r="E151" s="77">
        <v>77152</v>
      </c>
      <c r="F151" s="78">
        <v>12688</v>
      </c>
      <c r="G151" s="78"/>
      <c r="H151" s="78" t="s">
        <v>520</v>
      </c>
      <c r="I151" s="78">
        <v>0</v>
      </c>
      <c r="J151" s="78">
        <v>0</v>
      </c>
      <c r="K151">
        <v>0</v>
      </c>
      <c r="L151">
        <f>SUM(Table2[[#This Row],[2021 Reach]:[2023 Reach]])*5</f>
        <v>0</v>
      </c>
      <c r="M151">
        <f>Table2[[#This Row],[2023 Reach]]*5</f>
        <v>0</v>
      </c>
      <c r="N151" s="79">
        <f>IFERROR(Table2[[#This Row],[2023 Reach People]]/Table2[[#This Row],[2023 Affected People]],0)</f>
        <v>0</v>
      </c>
      <c r="O151">
        <f t="shared" si="18"/>
        <v>1</v>
      </c>
      <c r="P151">
        <f t="shared" si="19"/>
        <v>1</v>
      </c>
      <c r="Q151">
        <f t="shared" si="20"/>
        <v>1</v>
      </c>
      <c r="R151">
        <f t="shared" si="21"/>
        <v>1</v>
      </c>
      <c r="S151">
        <f t="shared" si="23"/>
        <v>2</v>
      </c>
      <c r="T151">
        <f>IF(Table2[[#This Row],[Access 2023]]="Hard to reach", 4, IF(Table2[[#This Row],[Access 2023]]="Partially Accessible", 3, 2))</f>
        <v>4</v>
      </c>
      <c r="U151">
        <v>2</v>
      </c>
      <c r="W151">
        <f>SUM(Table2[[#This Row],[PIN Score]],Table2[[#This Row],[Response 2023 Score]],Table2[[#This Row],[Neglected Locality Percentage Response]],Table2[[#This Row],[Security and Access]])</f>
        <v>8</v>
      </c>
      <c r="X151">
        <f t="shared" si="22"/>
        <v>5</v>
      </c>
    </row>
    <row r="152" spans="1:24" ht="27.6" x14ac:dyDescent="0.55000000000000004">
      <c r="A152" s="82" t="s">
        <v>454</v>
      </c>
      <c r="B152" s="81" t="s">
        <v>515</v>
      </c>
      <c r="C152" s="81" t="s">
        <v>401</v>
      </c>
      <c r="D152" s="76" t="s">
        <v>211</v>
      </c>
      <c r="E152" s="77">
        <v>155044</v>
      </c>
      <c r="F152" s="78">
        <v>9313</v>
      </c>
      <c r="G152" s="78"/>
      <c r="H152" s="78" t="s">
        <v>521</v>
      </c>
      <c r="I152" s="78">
        <v>0</v>
      </c>
      <c r="J152" s="78">
        <v>0</v>
      </c>
      <c r="K152">
        <v>0</v>
      </c>
      <c r="L152">
        <f>SUM(Table2[[#This Row],[2021 Reach]:[2023 Reach]])*5</f>
        <v>0</v>
      </c>
      <c r="M152">
        <f>Table2[[#This Row],[2023 Reach]]*5</f>
        <v>0</v>
      </c>
      <c r="N152" s="79">
        <f>IFERROR(Table2[[#This Row],[2023 Reach People]]/Table2[[#This Row],[2023 Affected People]],0)</f>
        <v>0</v>
      </c>
      <c r="O152">
        <f t="shared" si="18"/>
        <v>1</v>
      </c>
      <c r="P152">
        <f t="shared" si="19"/>
        <v>1</v>
      </c>
      <c r="Q152">
        <f t="shared" si="20"/>
        <v>1</v>
      </c>
      <c r="R152">
        <f t="shared" si="21"/>
        <v>1</v>
      </c>
      <c r="S152">
        <f t="shared" si="23"/>
        <v>2</v>
      </c>
      <c r="T152">
        <f>IF(Table2[[#This Row],[Access 2023]]="Hard to reach", 4, IF(Table2[[#This Row],[Access 2023]]="Partially Accessible", 3, 2))</f>
        <v>2</v>
      </c>
      <c r="U152">
        <v>2</v>
      </c>
      <c r="W152">
        <f>SUM(Table2[[#This Row],[PIN Score]],Table2[[#This Row],[Response 2023 Score]],Table2[[#This Row],[Neglected Locality Percentage Response]],Table2[[#This Row],[Security and Access]])</f>
        <v>6</v>
      </c>
      <c r="X152">
        <f t="shared" si="22"/>
        <v>3</v>
      </c>
    </row>
    <row r="153" spans="1:24" x14ac:dyDescent="0.55000000000000004">
      <c r="A153" s="82" t="s">
        <v>454</v>
      </c>
      <c r="B153" s="81" t="s">
        <v>515</v>
      </c>
      <c r="C153" s="81" t="s">
        <v>402</v>
      </c>
      <c r="D153" s="76" t="s">
        <v>212</v>
      </c>
      <c r="E153" s="77">
        <v>271412</v>
      </c>
      <c r="F153" s="78">
        <v>0</v>
      </c>
      <c r="G153" s="78"/>
      <c r="H153" s="78" t="s">
        <v>520</v>
      </c>
      <c r="I153" s="78">
        <v>0</v>
      </c>
      <c r="J153" s="78">
        <v>0</v>
      </c>
      <c r="K153">
        <v>0</v>
      </c>
      <c r="L153">
        <f>SUM(Table2[[#This Row],[2021 Reach]:[2023 Reach]])*5</f>
        <v>0</v>
      </c>
      <c r="M153">
        <f>Table2[[#This Row],[2023 Reach]]*5</f>
        <v>0</v>
      </c>
      <c r="N153" s="79">
        <f>IFERROR(Table2[[#This Row],[2023 Reach People]]/Table2[[#This Row],[2023 Affected People]],0)</f>
        <v>0</v>
      </c>
      <c r="O153">
        <f t="shared" si="18"/>
        <v>0</v>
      </c>
      <c r="P153">
        <f t="shared" si="19"/>
        <v>1</v>
      </c>
      <c r="Q153">
        <f t="shared" si="20"/>
        <v>1</v>
      </c>
      <c r="R153">
        <f t="shared" si="21"/>
        <v>1</v>
      </c>
      <c r="S153">
        <f t="shared" si="23"/>
        <v>2</v>
      </c>
      <c r="T153">
        <f>IF(Table2[[#This Row],[Access 2023]]="Hard to reach", 4, IF(Table2[[#This Row],[Access 2023]]="Partially Accessible", 3, 2))</f>
        <v>4</v>
      </c>
      <c r="U153">
        <v>2</v>
      </c>
      <c r="W153">
        <f>SUM(Table2[[#This Row],[PIN Score]],Table2[[#This Row],[Response 2023 Score]],Table2[[#This Row],[Neglected Locality Percentage Response]],Table2[[#This Row],[Security and Access]])</f>
        <v>7</v>
      </c>
      <c r="X153">
        <f t="shared" si="22"/>
        <v>4</v>
      </c>
    </row>
    <row r="154" spans="1:24" x14ac:dyDescent="0.55000000000000004">
      <c r="A154" s="82" t="s">
        <v>454</v>
      </c>
      <c r="B154" s="81" t="s">
        <v>515</v>
      </c>
      <c r="C154" s="81" t="s">
        <v>403</v>
      </c>
      <c r="D154" s="76" t="s">
        <v>213</v>
      </c>
      <c r="E154" s="77">
        <v>40025</v>
      </c>
      <c r="F154" s="78">
        <v>39360</v>
      </c>
      <c r="G154" s="78"/>
      <c r="H154" s="78" t="s">
        <v>520</v>
      </c>
      <c r="I154" s="78">
        <v>0</v>
      </c>
      <c r="J154" s="78">
        <v>0</v>
      </c>
      <c r="K154">
        <v>0</v>
      </c>
      <c r="L154">
        <f>SUM(Table2[[#This Row],[2021 Reach]:[2023 Reach]])*5</f>
        <v>0</v>
      </c>
      <c r="M154">
        <f>Table2[[#This Row],[2023 Reach]]*5</f>
        <v>0</v>
      </c>
      <c r="N154" s="79">
        <f>IFERROR(Table2[[#This Row],[2023 Reach People]]/Table2[[#This Row],[2023 Affected People]],0)</f>
        <v>0</v>
      </c>
      <c r="O154">
        <f t="shared" si="18"/>
        <v>1</v>
      </c>
      <c r="P154">
        <f t="shared" si="19"/>
        <v>1</v>
      </c>
      <c r="Q154">
        <f t="shared" si="20"/>
        <v>1</v>
      </c>
      <c r="R154">
        <f t="shared" si="21"/>
        <v>1</v>
      </c>
      <c r="S154">
        <f t="shared" si="23"/>
        <v>2</v>
      </c>
      <c r="T154">
        <f>IF(Table2[[#This Row],[Access 2023]]="Hard to reach", 4, IF(Table2[[#This Row],[Access 2023]]="Partially Accessible", 3, 2))</f>
        <v>4</v>
      </c>
      <c r="U154">
        <v>2</v>
      </c>
      <c r="W154">
        <f>SUM(Table2[[#This Row],[PIN Score]],Table2[[#This Row],[Response 2023 Score]],Table2[[#This Row],[Neglected Locality Percentage Response]],Table2[[#This Row],[Security and Access]])</f>
        <v>8</v>
      </c>
      <c r="X154">
        <f t="shared" si="22"/>
        <v>5</v>
      </c>
    </row>
    <row r="155" spans="1:24" x14ac:dyDescent="0.55000000000000004">
      <c r="A155" s="82" t="s">
        <v>454</v>
      </c>
      <c r="B155" s="81" t="s">
        <v>515</v>
      </c>
      <c r="C155" s="81" t="s">
        <v>404</v>
      </c>
      <c r="D155" s="76" t="s">
        <v>214</v>
      </c>
      <c r="E155" s="77">
        <v>78445</v>
      </c>
      <c r="F155" s="78">
        <v>17698</v>
      </c>
      <c r="G155" s="78"/>
      <c r="H155" s="78" t="s">
        <v>521</v>
      </c>
      <c r="I155" s="78">
        <v>0</v>
      </c>
      <c r="J155" s="78">
        <v>0</v>
      </c>
      <c r="K155">
        <v>0</v>
      </c>
      <c r="L155">
        <f>SUM(Table2[[#This Row],[2021 Reach]:[2023 Reach]])*5</f>
        <v>0</v>
      </c>
      <c r="M155">
        <f>Table2[[#This Row],[2023 Reach]]*5</f>
        <v>0</v>
      </c>
      <c r="N155" s="79">
        <f>IFERROR(Table2[[#This Row],[2023 Reach People]]/Table2[[#This Row],[2023 Affected People]],0)</f>
        <v>0</v>
      </c>
      <c r="O155">
        <f t="shared" si="18"/>
        <v>1</v>
      </c>
      <c r="P155">
        <f t="shared" si="19"/>
        <v>1</v>
      </c>
      <c r="Q155">
        <f t="shared" si="20"/>
        <v>1</v>
      </c>
      <c r="R155">
        <f t="shared" si="21"/>
        <v>1</v>
      </c>
      <c r="S155">
        <f t="shared" si="23"/>
        <v>2</v>
      </c>
      <c r="T155">
        <f>IF(Table2[[#This Row],[Access 2023]]="Hard to reach", 4, IF(Table2[[#This Row],[Access 2023]]="Partially Accessible", 3, 2))</f>
        <v>2</v>
      </c>
      <c r="U155">
        <v>2</v>
      </c>
      <c r="W155">
        <f>SUM(Table2[[#This Row],[PIN Score]],Table2[[#This Row],[Response 2023 Score]],Table2[[#This Row],[Neglected Locality Percentage Response]],Table2[[#This Row],[Security and Access]])</f>
        <v>6</v>
      </c>
      <c r="X155">
        <f t="shared" si="22"/>
        <v>3</v>
      </c>
    </row>
    <row r="156" spans="1:24" x14ac:dyDescent="0.55000000000000004">
      <c r="A156" s="82" t="s">
        <v>454</v>
      </c>
      <c r="B156" s="81" t="s">
        <v>515</v>
      </c>
      <c r="C156" s="81" t="s">
        <v>405</v>
      </c>
      <c r="D156" s="76" t="s">
        <v>215</v>
      </c>
      <c r="E156" s="77">
        <v>117269</v>
      </c>
      <c r="F156" s="78">
        <v>10689</v>
      </c>
      <c r="G156" s="78"/>
      <c r="H156" s="78" t="s">
        <v>520</v>
      </c>
      <c r="I156" s="78">
        <v>0</v>
      </c>
      <c r="J156" s="78">
        <v>0</v>
      </c>
      <c r="K156">
        <v>129</v>
      </c>
      <c r="L156">
        <f>SUM(Table2[[#This Row],[2021 Reach]:[2023 Reach]])*5</f>
        <v>645</v>
      </c>
      <c r="M156">
        <f>Table2[[#This Row],[2023 Reach]]*5</f>
        <v>645</v>
      </c>
      <c r="N156" s="79">
        <f>IFERROR(Table2[[#This Row],[2023 Reach People]]/Table2[[#This Row],[2023 Affected People]],0)</f>
        <v>5.5001748117575831E-3</v>
      </c>
      <c r="O156">
        <f t="shared" si="18"/>
        <v>1</v>
      </c>
      <c r="P156">
        <f t="shared" si="19"/>
        <v>1</v>
      </c>
      <c r="Q156">
        <f t="shared" si="20"/>
        <v>1</v>
      </c>
      <c r="R156">
        <f t="shared" si="21"/>
        <v>0</v>
      </c>
      <c r="S156">
        <f t="shared" si="23"/>
        <v>1</v>
      </c>
      <c r="T156">
        <f>IF(Table2[[#This Row],[Access 2023]]="Hard to reach", 4, IF(Table2[[#This Row],[Access 2023]]="Partially Accessible", 3, 2))</f>
        <v>4</v>
      </c>
      <c r="U156">
        <v>2</v>
      </c>
      <c r="W156">
        <f>SUM(Table2[[#This Row],[PIN Score]],Table2[[#This Row],[Response 2023 Score]],Table2[[#This Row],[Neglected Locality Percentage Response]],Table2[[#This Row],[Security and Access]])</f>
        <v>6</v>
      </c>
      <c r="X156">
        <f t="shared" si="22"/>
        <v>3</v>
      </c>
    </row>
    <row r="157" spans="1:24" x14ac:dyDescent="0.55000000000000004">
      <c r="A157" s="82" t="s">
        <v>454</v>
      </c>
      <c r="B157" s="81" t="s">
        <v>515</v>
      </c>
      <c r="C157" s="81" t="s">
        <v>406</v>
      </c>
      <c r="D157" s="76" t="s">
        <v>216</v>
      </c>
      <c r="E157" s="77">
        <v>108548</v>
      </c>
      <c r="F157" s="78">
        <v>25027</v>
      </c>
      <c r="G157" s="78"/>
      <c r="H157" s="78" t="s">
        <v>520</v>
      </c>
      <c r="I157" s="78">
        <v>0</v>
      </c>
      <c r="J157" s="78">
        <v>0</v>
      </c>
      <c r="K157">
        <v>0</v>
      </c>
      <c r="L157">
        <f>SUM(Table2[[#This Row],[2021 Reach]:[2023 Reach]])*5</f>
        <v>0</v>
      </c>
      <c r="M157">
        <f>Table2[[#This Row],[2023 Reach]]*5</f>
        <v>0</v>
      </c>
      <c r="N157" s="79">
        <f>IFERROR(Table2[[#This Row],[2023 Reach People]]/Table2[[#This Row],[2023 Affected People]],0)</f>
        <v>0</v>
      </c>
      <c r="O157">
        <f t="shared" si="18"/>
        <v>1</v>
      </c>
      <c r="P157">
        <f t="shared" si="19"/>
        <v>1</v>
      </c>
      <c r="Q157">
        <f t="shared" si="20"/>
        <v>1</v>
      </c>
      <c r="R157">
        <f t="shared" si="21"/>
        <v>1</v>
      </c>
      <c r="S157">
        <f t="shared" si="23"/>
        <v>2</v>
      </c>
      <c r="T157">
        <f>IF(Table2[[#This Row],[Access 2023]]="Hard to reach", 4, IF(Table2[[#This Row],[Access 2023]]="Partially Accessible", 3, 2))</f>
        <v>4</v>
      </c>
      <c r="U157">
        <v>1</v>
      </c>
      <c r="W157">
        <f>SUM(Table2[[#This Row],[PIN Score]],Table2[[#This Row],[Response 2023 Score]],Table2[[#This Row],[Neglected Locality Percentage Response]],Table2[[#This Row],[Security and Access]])</f>
        <v>8</v>
      </c>
      <c r="X157">
        <f t="shared" si="22"/>
        <v>5</v>
      </c>
    </row>
    <row r="158" spans="1:24" x14ac:dyDescent="0.55000000000000004">
      <c r="A158" s="82" t="s">
        <v>454</v>
      </c>
      <c r="B158" s="81" t="s">
        <v>515</v>
      </c>
      <c r="C158" s="81" t="s">
        <v>407</v>
      </c>
      <c r="D158" s="76" t="s">
        <v>217</v>
      </c>
      <c r="E158" s="77">
        <v>252194.4</v>
      </c>
      <c r="F158" s="78">
        <v>92060</v>
      </c>
      <c r="G158" s="78"/>
      <c r="H158" s="78" t="s">
        <v>520</v>
      </c>
      <c r="I158" s="78">
        <v>2685</v>
      </c>
      <c r="J158" s="78">
        <v>1002</v>
      </c>
      <c r="K158">
        <v>1068</v>
      </c>
      <c r="L158">
        <f>SUM(Table2[[#This Row],[2021 Reach]:[2023 Reach]])*5</f>
        <v>23775</v>
      </c>
      <c r="M158">
        <f>Table2[[#This Row],[2023 Reach]]*5</f>
        <v>5340</v>
      </c>
      <c r="N158" s="79">
        <f>IFERROR(Table2[[#This Row],[2023 Reach People]]/Table2[[#This Row],[2023 Affected People]],0)</f>
        <v>2.1174141852475709E-2</v>
      </c>
      <c r="O158">
        <f t="shared" si="18"/>
        <v>1</v>
      </c>
      <c r="P158">
        <f t="shared" si="19"/>
        <v>0</v>
      </c>
      <c r="Q158">
        <f t="shared" si="20"/>
        <v>0</v>
      </c>
      <c r="R158">
        <f t="shared" si="21"/>
        <v>0</v>
      </c>
      <c r="S158">
        <f t="shared" si="23"/>
        <v>1</v>
      </c>
      <c r="T158">
        <f>IF(Table2[[#This Row],[Access 2023]]="Hard to reach", 4, IF(Table2[[#This Row],[Access 2023]]="Partially Accessible", 3, 2))</f>
        <v>4</v>
      </c>
      <c r="U158">
        <v>2</v>
      </c>
      <c r="W158">
        <f>SUM(Table2[[#This Row],[PIN Score]],Table2[[#This Row],[Response 2023 Score]],Table2[[#This Row],[Neglected Locality Percentage Response]],Table2[[#This Row],[Security and Access]])</f>
        <v>6</v>
      </c>
      <c r="X158">
        <f t="shared" si="22"/>
        <v>3</v>
      </c>
    </row>
    <row r="159" spans="1:24" x14ac:dyDescent="0.55000000000000004">
      <c r="A159" s="82" t="s">
        <v>454</v>
      </c>
      <c r="B159" s="81" t="s">
        <v>515</v>
      </c>
      <c r="C159" s="81" t="s">
        <v>408</v>
      </c>
      <c r="D159" s="76" t="s">
        <v>218</v>
      </c>
      <c r="E159" s="77">
        <v>235684</v>
      </c>
      <c r="F159" s="78">
        <v>6541</v>
      </c>
      <c r="G159" s="78"/>
      <c r="H159" s="78" t="s">
        <v>521</v>
      </c>
      <c r="I159" s="78">
        <v>0</v>
      </c>
      <c r="J159" s="78">
        <v>0</v>
      </c>
      <c r="K159">
        <v>0</v>
      </c>
      <c r="L159">
        <f>SUM(Table2[[#This Row],[2021 Reach]:[2023 Reach]])*5</f>
        <v>0</v>
      </c>
      <c r="M159">
        <f>Table2[[#This Row],[2023 Reach]]*5</f>
        <v>0</v>
      </c>
      <c r="N159" s="79">
        <f>IFERROR(Table2[[#This Row],[2023 Reach People]]/Table2[[#This Row],[2023 Affected People]],0)</f>
        <v>0</v>
      </c>
      <c r="O159">
        <f t="shared" si="18"/>
        <v>1</v>
      </c>
      <c r="P159">
        <f t="shared" si="19"/>
        <v>1</v>
      </c>
      <c r="Q159">
        <f t="shared" si="20"/>
        <v>1</v>
      </c>
      <c r="R159">
        <f t="shared" si="21"/>
        <v>1</v>
      </c>
      <c r="S159">
        <f t="shared" si="23"/>
        <v>2</v>
      </c>
      <c r="T159">
        <f>IF(Table2[[#This Row],[Access 2023]]="Hard to reach", 4, IF(Table2[[#This Row],[Access 2023]]="Partially Accessible", 3, 2))</f>
        <v>2</v>
      </c>
      <c r="U159">
        <v>2</v>
      </c>
      <c r="W159">
        <f>SUM(Table2[[#This Row],[PIN Score]],Table2[[#This Row],[Response 2023 Score]],Table2[[#This Row],[Neglected Locality Percentage Response]],Table2[[#This Row],[Security and Access]])</f>
        <v>6</v>
      </c>
      <c r="X159">
        <f t="shared" si="22"/>
        <v>3</v>
      </c>
    </row>
    <row r="160" spans="1:24" x14ac:dyDescent="0.55000000000000004">
      <c r="A160" s="82" t="s">
        <v>454</v>
      </c>
      <c r="B160" s="81" t="s">
        <v>515</v>
      </c>
      <c r="C160" s="81" t="s">
        <v>409</v>
      </c>
      <c r="D160" s="76" t="s">
        <v>219</v>
      </c>
      <c r="E160" s="77">
        <v>607593.85</v>
      </c>
      <c r="F160" s="78">
        <v>0</v>
      </c>
      <c r="G160" s="78"/>
      <c r="H160" s="78" t="s">
        <v>520</v>
      </c>
      <c r="I160" s="78">
        <v>0</v>
      </c>
      <c r="J160" s="78">
        <v>0</v>
      </c>
      <c r="K160">
        <v>0</v>
      </c>
      <c r="L160">
        <f>SUM(Table2[[#This Row],[2021 Reach]:[2023 Reach]])*5</f>
        <v>0</v>
      </c>
      <c r="M160">
        <f>Table2[[#This Row],[2023 Reach]]*5</f>
        <v>0</v>
      </c>
      <c r="N160" s="79">
        <f>IFERROR(Table2[[#This Row],[2023 Reach People]]/Table2[[#This Row],[2023 Affected People]],0)</f>
        <v>0</v>
      </c>
      <c r="O160">
        <f t="shared" si="18"/>
        <v>0</v>
      </c>
      <c r="P160">
        <f t="shared" si="19"/>
        <v>1</v>
      </c>
      <c r="Q160">
        <f t="shared" si="20"/>
        <v>1</v>
      </c>
      <c r="R160">
        <f t="shared" si="21"/>
        <v>1</v>
      </c>
      <c r="S160">
        <f t="shared" si="23"/>
        <v>2</v>
      </c>
      <c r="T160">
        <f>IF(Table2[[#This Row],[Access 2023]]="Hard to reach", 4, IF(Table2[[#This Row],[Access 2023]]="Partially Accessible", 3, 2))</f>
        <v>4</v>
      </c>
      <c r="U160">
        <v>1</v>
      </c>
      <c r="W160">
        <f>SUM(Table2[[#This Row],[PIN Score]],Table2[[#This Row],[Response 2023 Score]],Table2[[#This Row],[Neglected Locality Percentage Response]],Table2[[#This Row],[Security and Access]])</f>
        <v>7</v>
      </c>
      <c r="X160">
        <f t="shared" si="22"/>
        <v>4</v>
      </c>
    </row>
    <row r="161" spans="1:24" ht="24.6" x14ac:dyDescent="0.55000000000000004">
      <c r="A161" s="82" t="s">
        <v>455</v>
      </c>
      <c r="B161" s="81" t="s">
        <v>516</v>
      </c>
      <c r="C161" s="81" t="s">
        <v>410</v>
      </c>
      <c r="D161" s="76" t="s">
        <v>220</v>
      </c>
      <c r="E161" s="77">
        <v>655064.69999999995</v>
      </c>
      <c r="F161" s="78">
        <v>154016</v>
      </c>
      <c r="G161" s="78"/>
      <c r="H161" s="78" t="s">
        <v>522</v>
      </c>
      <c r="I161" s="78">
        <v>60756</v>
      </c>
      <c r="J161" s="78">
        <v>2039</v>
      </c>
      <c r="K161">
        <v>3074</v>
      </c>
      <c r="L161">
        <f>SUM(Table2[[#This Row],[2021 Reach]:[2023 Reach]])*5</f>
        <v>329345</v>
      </c>
      <c r="M161">
        <f>Table2[[#This Row],[2023 Reach]]*5</f>
        <v>15370</v>
      </c>
      <c r="N161" s="79">
        <f>IFERROR(Table2[[#This Row],[2023 Reach People]]/Table2[[#This Row],[2023 Affected People]],0)</f>
        <v>2.3463331179347631E-2</v>
      </c>
      <c r="O161">
        <f t="shared" si="18"/>
        <v>3</v>
      </c>
      <c r="P161">
        <f t="shared" si="19"/>
        <v>0</v>
      </c>
      <c r="Q161">
        <f t="shared" si="20"/>
        <v>0</v>
      </c>
      <c r="R161">
        <f t="shared" si="21"/>
        <v>0</v>
      </c>
      <c r="S161">
        <f t="shared" si="23"/>
        <v>1</v>
      </c>
      <c r="T161">
        <f>IF(Table2[[#This Row],[Access 2023]]="Hard to reach", 4, IF(Table2[[#This Row],[Access 2023]]="Partially Accessible", 3, 2))</f>
        <v>3</v>
      </c>
      <c r="U161">
        <v>2</v>
      </c>
      <c r="W161">
        <f>SUM(Table2[[#This Row],[PIN Score]],Table2[[#This Row],[Response 2023 Score]],Table2[[#This Row],[Neglected Locality Percentage Response]],Table2[[#This Row],[Security and Access]])</f>
        <v>7</v>
      </c>
      <c r="X161">
        <f t="shared" si="22"/>
        <v>4</v>
      </c>
    </row>
    <row r="162" spans="1:24" x14ac:dyDescent="0.55000000000000004">
      <c r="A162" s="82" t="s">
        <v>455</v>
      </c>
      <c r="B162" s="81" t="s">
        <v>516</v>
      </c>
      <c r="C162" s="81" t="s">
        <v>411</v>
      </c>
      <c r="D162" s="76" t="s">
        <v>221</v>
      </c>
      <c r="E162" s="77">
        <v>32439</v>
      </c>
      <c r="F162" s="78">
        <v>43729</v>
      </c>
      <c r="G162" s="78"/>
      <c r="H162" s="78" t="s">
        <v>520</v>
      </c>
      <c r="I162" s="78">
        <v>0</v>
      </c>
      <c r="J162" s="78">
        <v>0</v>
      </c>
      <c r="K162">
        <v>541</v>
      </c>
      <c r="L162">
        <f>SUM(Table2[[#This Row],[2021 Reach]:[2023 Reach]])*5</f>
        <v>2705</v>
      </c>
      <c r="M162">
        <f>Table2[[#This Row],[2023 Reach]]*5</f>
        <v>2705</v>
      </c>
      <c r="N162" s="79">
        <f>IFERROR(Table2[[#This Row],[2023 Reach People]]/Table2[[#This Row],[2023 Affected People]],0)</f>
        <v>8.3387280742316341E-2</v>
      </c>
      <c r="O162">
        <f t="shared" si="18"/>
        <v>1</v>
      </c>
      <c r="P162">
        <f t="shared" ref="P162:P191" si="24">IF(I162=0,1,0)</f>
        <v>1</v>
      </c>
      <c r="Q162">
        <f t="shared" ref="Q162:Q191" si="25">IF(J162=0,1,0)</f>
        <v>1</v>
      </c>
      <c r="R162">
        <f t="shared" si="21"/>
        <v>0</v>
      </c>
      <c r="S162">
        <f t="shared" si="23"/>
        <v>1</v>
      </c>
      <c r="T162">
        <f>IF(Table2[[#This Row],[Access 2023]]="Hard to reach", 4, IF(Table2[[#This Row],[Access 2023]]="Partially Accessible", 3, 2))</f>
        <v>4</v>
      </c>
      <c r="U162">
        <v>1</v>
      </c>
      <c r="W162">
        <f>SUM(Table2[[#This Row],[PIN Score]],Table2[[#This Row],[Response 2023 Score]],Table2[[#This Row],[Neglected Locality Percentage Response]],Table2[[#This Row],[Security and Access]])</f>
        <v>6</v>
      </c>
      <c r="X162">
        <f t="shared" ref="X162:X191" si="26">IF(W162&lt;=4, 1, IF(W162&lt;6, 2, IF(W162&lt;7, 3, IF(W162&lt;8, 4, 5))))</f>
        <v>3</v>
      </c>
    </row>
    <row r="163" spans="1:24" x14ac:dyDescent="0.55000000000000004">
      <c r="A163" s="82" t="s">
        <v>455</v>
      </c>
      <c r="B163" s="81" t="s">
        <v>516</v>
      </c>
      <c r="C163" s="81" t="s">
        <v>412</v>
      </c>
      <c r="D163" s="76" t="s">
        <v>222</v>
      </c>
      <c r="E163" s="77">
        <v>78300</v>
      </c>
      <c r="F163" s="78">
        <v>16466</v>
      </c>
      <c r="G163" s="78"/>
      <c r="H163" s="78" t="s">
        <v>520</v>
      </c>
      <c r="I163" s="78">
        <v>0</v>
      </c>
      <c r="J163" s="78">
        <v>1234</v>
      </c>
      <c r="K163">
        <v>0</v>
      </c>
      <c r="L163">
        <f>SUM(Table2[[#This Row],[2021 Reach]:[2023 Reach]])*5</f>
        <v>6170</v>
      </c>
      <c r="M163">
        <f>Table2[[#This Row],[2023 Reach]]*5</f>
        <v>0</v>
      </c>
      <c r="N163" s="79">
        <f>IFERROR(Table2[[#This Row],[2023 Reach People]]/Table2[[#This Row],[2023 Affected People]],0)</f>
        <v>0</v>
      </c>
      <c r="O163">
        <f t="shared" si="18"/>
        <v>1</v>
      </c>
      <c r="P163">
        <f t="shared" si="24"/>
        <v>1</v>
      </c>
      <c r="Q163">
        <f t="shared" si="25"/>
        <v>0</v>
      </c>
      <c r="R163">
        <f t="shared" si="21"/>
        <v>1</v>
      </c>
      <c r="S163">
        <f t="shared" si="23"/>
        <v>2</v>
      </c>
      <c r="T163">
        <f>IF(Table2[[#This Row],[Access 2023]]="Hard to reach", 4, IF(Table2[[#This Row],[Access 2023]]="Partially Accessible", 3, 2))</f>
        <v>4</v>
      </c>
      <c r="U163">
        <v>2</v>
      </c>
      <c r="W163">
        <f>SUM(Table2[[#This Row],[PIN Score]],Table2[[#This Row],[Response 2023 Score]],Table2[[#This Row],[Neglected Locality Percentage Response]],Table2[[#This Row],[Security and Access]])</f>
        <v>8</v>
      </c>
      <c r="X163">
        <f t="shared" si="26"/>
        <v>5</v>
      </c>
    </row>
    <row r="164" spans="1:24" x14ac:dyDescent="0.55000000000000004">
      <c r="A164" s="82" t="s">
        <v>455</v>
      </c>
      <c r="B164" s="81" t="s">
        <v>516</v>
      </c>
      <c r="C164" s="81" t="s">
        <v>413</v>
      </c>
      <c r="D164" s="76" t="s">
        <v>223</v>
      </c>
      <c r="E164" s="77">
        <v>166067</v>
      </c>
      <c r="F164" s="78">
        <v>39314</v>
      </c>
      <c r="G164" s="78"/>
      <c r="H164" s="78" t="s">
        <v>520</v>
      </c>
      <c r="I164" s="78">
        <v>0</v>
      </c>
      <c r="J164" s="78">
        <v>0</v>
      </c>
      <c r="K164">
        <v>0</v>
      </c>
      <c r="L164">
        <f>SUM(Table2[[#This Row],[2021 Reach]:[2023 Reach]])*5</f>
        <v>0</v>
      </c>
      <c r="M164">
        <f>Table2[[#This Row],[2023 Reach]]*5</f>
        <v>0</v>
      </c>
      <c r="N164" s="79">
        <f>IFERROR(Table2[[#This Row],[2023 Reach People]]/Table2[[#This Row],[2023 Affected People]],0)</f>
        <v>0</v>
      </c>
      <c r="O164">
        <f t="shared" si="18"/>
        <v>1</v>
      </c>
      <c r="P164">
        <f t="shared" si="24"/>
        <v>1</v>
      </c>
      <c r="Q164">
        <f t="shared" si="25"/>
        <v>1</v>
      </c>
      <c r="R164">
        <f t="shared" si="21"/>
        <v>1</v>
      </c>
      <c r="S164">
        <f t="shared" si="23"/>
        <v>2</v>
      </c>
      <c r="T164">
        <f>IF(Table2[[#This Row],[Access 2023]]="Hard to reach", 4, IF(Table2[[#This Row],[Access 2023]]="Partially Accessible", 3, 2))</f>
        <v>4</v>
      </c>
      <c r="U164">
        <v>1</v>
      </c>
      <c r="W164">
        <f>SUM(Table2[[#This Row],[PIN Score]],Table2[[#This Row],[Response 2023 Score]],Table2[[#This Row],[Neglected Locality Percentage Response]],Table2[[#This Row],[Security and Access]])</f>
        <v>8</v>
      </c>
      <c r="X164">
        <f t="shared" si="26"/>
        <v>5</v>
      </c>
    </row>
    <row r="165" spans="1:24" x14ac:dyDescent="0.55000000000000004">
      <c r="A165" s="82" t="s">
        <v>455</v>
      </c>
      <c r="B165" s="81" t="s">
        <v>516</v>
      </c>
      <c r="C165" s="81" t="s">
        <v>414</v>
      </c>
      <c r="D165" s="76" t="s">
        <v>224</v>
      </c>
      <c r="E165" s="77">
        <v>114583</v>
      </c>
      <c r="F165" s="78">
        <v>39246</v>
      </c>
      <c r="G165" s="78"/>
      <c r="H165" s="78" t="s">
        <v>520</v>
      </c>
      <c r="I165" s="78">
        <v>0</v>
      </c>
      <c r="J165" s="78">
        <v>902</v>
      </c>
      <c r="K165">
        <v>1050</v>
      </c>
      <c r="L165">
        <f>SUM(Table2[[#This Row],[2021 Reach]:[2023 Reach]])*5</f>
        <v>9760</v>
      </c>
      <c r="M165">
        <f>Table2[[#This Row],[2023 Reach]]*5</f>
        <v>5250</v>
      </c>
      <c r="N165" s="79">
        <f>IFERROR(Table2[[#This Row],[2023 Reach People]]/Table2[[#This Row],[2023 Affected People]],0)</f>
        <v>4.5818315107825767E-2</v>
      </c>
      <c r="O165">
        <f t="shared" si="18"/>
        <v>1</v>
      </c>
      <c r="P165">
        <f t="shared" si="24"/>
        <v>1</v>
      </c>
      <c r="Q165">
        <f t="shared" si="25"/>
        <v>0</v>
      </c>
      <c r="R165">
        <f t="shared" si="21"/>
        <v>0</v>
      </c>
      <c r="S165">
        <f t="shared" si="23"/>
        <v>1</v>
      </c>
      <c r="T165">
        <f>IF(Table2[[#This Row],[Access 2023]]="Hard to reach", 4, IF(Table2[[#This Row],[Access 2023]]="Partially Accessible", 3, 2))</f>
        <v>4</v>
      </c>
      <c r="U165">
        <v>3</v>
      </c>
      <c r="W165">
        <f>SUM(Table2[[#This Row],[PIN Score]],Table2[[#This Row],[Response 2023 Score]],Table2[[#This Row],[Neglected Locality Percentage Response]],Table2[[#This Row],[Security and Access]])</f>
        <v>6</v>
      </c>
      <c r="X165">
        <f t="shared" si="26"/>
        <v>3</v>
      </c>
    </row>
    <row r="166" spans="1:24" x14ac:dyDescent="0.55000000000000004">
      <c r="A166" s="82" t="s">
        <v>455</v>
      </c>
      <c r="B166" s="81" t="s">
        <v>516</v>
      </c>
      <c r="C166" s="81" t="s">
        <v>415</v>
      </c>
      <c r="D166" s="76" t="s">
        <v>225</v>
      </c>
      <c r="E166" s="77">
        <v>66708</v>
      </c>
      <c r="F166" s="78">
        <v>72715</v>
      </c>
      <c r="G166" s="78"/>
      <c r="H166" s="78" t="s">
        <v>520</v>
      </c>
      <c r="I166" s="78">
        <v>0</v>
      </c>
      <c r="J166" s="78">
        <v>30615</v>
      </c>
      <c r="K166">
        <v>7229</v>
      </c>
      <c r="L166">
        <f>SUM(Table2[[#This Row],[2021 Reach]:[2023 Reach]])*5</f>
        <v>189220</v>
      </c>
      <c r="M166">
        <f>Table2[[#This Row],[2023 Reach]]*5</f>
        <v>36145</v>
      </c>
      <c r="N166" s="79">
        <f>IFERROR(Table2[[#This Row],[2023 Reach People]]/Table2[[#This Row],[2023 Affected People]],0)</f>
        <v>0.54183905978293456</v>
      </c>
      <c r="O166">
        <f t="shared" si="18"/>
        <v>1</v>
      </c>
      <c r="P166">
        <f t="shared" si="24"/>
        <v>1</v>
      </c>
      <c r="Q166">
        <f t="shared" si="25"/>
        <v>0</v>
      </c>
      <c r="R166">
        <f t="shared" si="21"/>
        <v>0</v>
      </c>
      <c r="S166">
        <f t="shared" si="23"/>
        <v>0</v>
      </c>
      <c r="T166">
        <f>IF(Table2[[#This Row],[Access 2023]]="Hard to reach", 4, IF(Table2[[#This Row],[Access 2023]]="Partially Accessible", 3, 2))</f>
        <v>4</v>
      </c>
      <c r="U166">
        <v>1</v>
      </c>
      <c r="W166">
        <f>SUM(Table2[[#This Row],[PIN Score]],Table2[[#This Row],[Response 2023 Score]],Table2[[#This Row],[Neglected Locality Percentage Response]],Table2[[#This Row],[Security and Access]])</f>
        <v>5</v>
      </c>
      <c r="X166">
        <f t="shared" si="26"/>
        <v>2</v>
      </c>
    </row>
    <row r="167" spans="1:24" x14ac:dyDescent="0.55000000000000004">
      <c r="A167" s="82" t="s">
        <v>455</v>
      </c>
      <c r="B167" s="81" t="s">
        <v>516</v>
      </c>
      <c r="C167" s="81" t="s">
        <v>416</v>
      </c>
      <c r="D167" s="76" t="s">
        <v>226</v>
      </c>
      <c r="E167" s="77">
        <v>167345</v>
      </c>
      <c r="F167" s="78">
        <v>29348</v>
      </c>
      <c r="G167" s="78"/>
      <c r="H167" s="78" t="s">
        <v>520</v>
      </c>
      <c r="I167" s="78">
        <v>0</v>
      </c>
      <c r="J167" s="78">
        <v>2700</v>
      </c>
      <c r="K167" s="58">
        <f>8185/5</f>
        <v>1637</v>
      </c>
      <c r="L167" s="58">
        <f>SUM(Table2[[#This Row],[2021 Reach]:[2023 Reach]])*5</f>
        <v>21685</v>
      </c>
      <c r="M167">
        <f>Table2[[#This Row],[2023 Reach]]*5</f>
        <v>8185</v>
      </c>
      <c r="N167" s="79">
        <f>IFERROR(Table2[[#This Row],[2023 Reach People]]/Table2[[#This Row],[2023 Affected People]],0)</f>
        <v>4.8910932504705844E-2</v>
      </c>
      <c r="O167">
        <f t="shared" si="18"/>
        <v>1</v>
      </c>
      <c r="P167">
        <f t="shared" si="24"/>
        <v>1</v>
      </c>
      <c r="Q167">
        <f t="shared" si="25"/>
        <v>0</v>
      </c>
      <c r="R167">
        <f t="shared" si="21"/>
        <v>0</v>
      </c>
      <c r="S167">
        <f t="shared" si="23"/>
        <v>1</v>
      </c>
      <c r="T167">
        <f>IF(Table2[[#This Row],[Access 2023]]="Hard to reach", 4, IF(Table2[[#This Row],[Access 2023]]="Partially Accessible", 3, 2))</f>
        <v>4</v>
      </c>
      <c r="U167">
        <v>3</v>
      </c>
      <c r="W167">
        <f>SUM(Table2[[#This Row],[PIN Score]],Table2[[#This Row],[Response 2023 Score]],Table2[[#This Row],[Neglected Locality Percentage Response]],Table2[[#This Row],[Security and Access]])</f>
        <v>6</v>
      </c>
      <c r="X167">
        <f t="shared" si="26"/>
        <v>3</v>
      </c>
    </row>
    <row r="168" spans="1:24" x14ac:dyDescent="0.55000000000000004">
      <c r="A168" s="82" t="s">
        <v>455</v>
      </c>
      <c r="B168" s="81" t="s">
        <v>516</v>
      </c>
      <c r="C168" s="81" t="s">
        <v>417</v>
      </c>
      <c r="D168" s="76" t="s">
        <v>227</v>
      </c>
      <c r="E168" s="77">
        <v>69993</v>
      </c>
      <c r="F168" s="78">
        <v>24342</v>
      </c>
      <c r="G168" s="78"/>
      <c r="H168" s="78" t="s">
        <v>520</v>
      </c>
      <c r="I168" s="78">
        <v>0</v>
      </c>
      <c r="J168" s="78">
        <v>0</v>
      </c>
      <c r="K168">
        <v>7196</v>
      </c>
      <c r="L168">
        <f>SUM(Table2[[#This Row],[2021 Reach]:[2023 Reach]])*5</f>
        <v>35980</v>
      </c>
      <c r="M168">
        <f>Table2[[#This Row],[2023 Reach]]*5</f>
        <v>35980</v>
      </c>
      <c r="N168" s="79">
        <f>IFERROR(Table2[[#This Row],[2023 Reach People]]/Table2[[#This Row],[2023 Affected People]],0)</f>
        <v>0.51405140514051406</v>
      </c>
      <c r="O168">
        <f t="shared" si="18"/>
        <v>1</v>
      </c>
      <c r="P168">
        <f t="shared" si="24"/>
        <v>1</v>
      </c>
      <c r="Q168">
        <f t="shared" si="25"/>
        <v>1</v>
      </c>
      <c r="R168">
        <f t="shared" si="21"/>
        <v>0</v>
      </c>
      <c r="S168">
        <f t="shared" si="23"/>
        <v>0</v>
      </c>
      <c r="T168">
        <f>IF(Table2[[#This Row],[Access 2023]]="Hard to reach", 4, IF(Table2[[#This Row],[Access 2023]]="Partially Accessible", 3, 2))</f>
        <v>4</v>
      </c>
      <c r="U168">
        <v>2</v>
      </c>
      <c r="W168">
        <f>SUM(Table2[[#This Row],[PIN Score]],Table2[[#This Row],[Response 2023 Score]],Table2[[#This Row],[Neglected Locality Percentage Response]],Table2[[#This Row],[Security and Access]])</f>
        <v>5</v>
      </c>
      <c r="X168">
        <f t="shared" si="26"/>
        <v>2</v>
      </c>
    </row>
    <row r="169" spans="1:24" ht="24.6" x14ac:dyDescent="0.55000000000000004">
      <c r="A169" s="82" t="s">
        <v>456</v>
      </c>
      <c r="B169" s="81" t="s">
        <v>517</v>
      </c>
      <c r="C169" s="81" t="s">
        <v>418</v>
      </c>
      <c r="D169" s="76" t="s">
        <v>228</v>
      </c>
      <c r="E169" s="77">
        <v>115385</v>
      </c>
      <c r="F169" s="78">
        <v>14719</v>
      </c>
      <c r="G169" s="78"/>
      <c r="H169" s="78" t="s">
        <v>522</v>
      </c>
      <c r="I169" s="78">
        <v>0</v>
      </c>
      <c r="J169" s="78">
        <v>0</v>
      </c>
      <c r="K169">
        <v>3</v>
      </c>
      <c r="L169">
        <f>SUM(Table2[[#This Row],[2021 Reach]:[2023 Reach]])*5</f>
        <v>15</v>
      </c>
      <c r="M169">
        <f>Table2[[#This Row],[2023 Reach]]*5</f>
        <v>15</v>
      </c>
      <c r="N169" s="79">
        <f>IFERROR(Table2[[#This Row],[2023 Reach People]]/Table2[[#This Row],[2023 Affected People]],0)</f>
        <v>1.2999956666811112E-4</v>
      </c>
      <c r="O169">
        <f t="shared" si="18"/>
        <v>1</v>
      </c>
      <c r="P169">
        <f t="shared" si="24"/>
        <v>1</v>
      </c>
      <c r="Q169">
        <f t="shared" si="25"/>
        <v>1</v>
      </c>
      <c r="R169">
        <f t="shared" si="21"/>
        <v>0</v>
      </c>
      <c r="S169">
        <f t="shared" si="23"/>
        <v>1</v>
      </c>
      <c r="T169">
        <f>IF(Table2[[#This Row],[Access 2023]]="Hard to reach", 4, IF(Table2[[#This Row],[Access 2023]]="Partially Accessible", 3, 2))</f>
        <v>3</v>
      </c>
      <c r="U169">
        <v>2</v>
      </c>
      <c r="W169">
        <f>SUM(Table2[[#This Row],[PIN Score]],Table2[[#This Row],[Response 2023 Score]],Table2[[#This Row],[Neglected Locality Percentage Response]],Table2[[#This Row],[Security and Access]])</f>
        <v>5</v>
      </c>
      <c r="X169">
        <f t="shared" si="26"/>
        <v>2</v>
      </c>
    </row>
    <row r="170" spans="1:24" ht="24.6" x14ac:dyDescent="0.55000000000000004">
      <c r="A170" s="82" t="s">
        <v>456</v>
      </c>
      <c r="B170" s="81" t="s">
        <v>517</v>
      </c>
      <c r="C170" s="81" t="s">
        <v>419</v>
      </c>
      <c r="D170" s="76" t="s">
        <v>229</v>
      </c>
      <c r="E170" s="77">
        <v>62260</v>
      </c>
      <c r="F170" s="78">
        <v>1269</v>
      </c>
      <c r="G170" s="78"/>
      <c r="H170" s="78" t="s">
        <v>522</v>
      </c>
      <c r="I170" s="78">
        <v>0</v>
      </c>
      <c r="J170" s="78">
        <v>0</v>
      </c>
      <c r="K170">
        <v>582</v>
      </c>
      <c r="L170">
        <f>SUM(Table2[[#This Row],[2021 Reach]:[2023 Reach]])*5</f>
        <v>2910</v>
      </c>
      <c r="M170">
        <f>Table2[[#This Row],[2023 Reach]]*5</f>
        <v>2910</v>
      </c>
      <c r="N170" s="79">
        <f>IFERROR(Table2[[#This Row],[2023 Reach People]]/Table2[[#This Row],[2023 Affected People]],0)</f>
        <v>4.6739479601670415E-2</v>
      </c>
      <c r="O170">
        <f t="shared" si="18"/>
        <v>1</v>
      </c>
      <c r="P170">
        <f t="shared" si="24"/>
        <v>1</v>
      </c>
      <c r="Q170">
        <f t="shared" si="25"/>
        <v>1</v>
      </c>
      <c r="R170">
        <f t="shared" si="21"/>
        <v>0</v>
      </c>
      <c r="S170">
        <f t="shared" si="23"/>
        <v>1</v>
      </c>
      <c r="T170">
        <f>IF(Table2[[#This Row],[Access 2023]]="Hard to reach", 4, IF(Table2[[#This Row],[Access 2023]]="Partially Accessible", 3, 2))</f>
        <v>3</v>
      </c>
      <c r="U170">
        <v>2</v>
      </c>
      <c r="W170">
        <f>SUM(Table2[[#This Row],[PIN Score]],Table2[[#This Row],[Response 2023 Score]],Table2[[#This Row],[Neglected Locality Percentage Response]],Table2[[#This Row],[Security and Access]])</f>
        <v>5</v>
      </c>
      <c r="X170">
        <f t="shared" si="26"/>
        <v>2</v>
      </c>
    </row>
    <row r="171" spans="1:24" ht="24.6" x14ac:dyDescent="0.55000000000000004">
      <c r="A171" s="82" t="s">
        <v>456</v>
      </c>
      <c r="B171" s="81" t="s">
        <v>517</v>
      </c>
      <c r="C171" s="81" t="s">
        <v>420</v>
      </c>
      <c r="D171" s="76" t="s">
        <v>230</v>
      </c>
      <c r="E171" s="77">
        <v>63142</v>
      </c>
      <c r="F171" s="78">
        <v>10764</v>
      </c>
      <c r="G171" s="78"/>
      <c r="H171" s="78" t="s">
        <v>522</v>
      </c>
      <c r="I171" s="78">
        <v>0</v>
      </c>
      <c r="J171" s="78">
        <v>0</v>
      </c>
      <c r="K171">
        <v>0</v>
      </c>
      <c r="L171">
        <f>SUM(Table2[[#This Row],[2021 Reach]:[2023 Reach]])*5</f>
        <v>0</v>
      </c>
      <c r="M171">
        <f>Table2[[#This Row],[2023 Reach]]*5</f>
        <v>0</v>
      </c>
      <c r="N171" s="79">
        <f>IFERROR(Table2[[#This Row],[2023 Reach People]]/Table2[[#This Row],[2023 Affected People]],0)</f>
        <v>0</v>
      </c>
      <c r="O171">
        <f t="shared" si="18"/>
        <v>1</v>
      </c>
      <c r="P171">
        <f t="shared" si="24"/>
        <v>1</v>
      </c>
      <c r="Q171">
        <f t="shared" si="25"/>
        <v>1</v>
      </c>
      <c r="R171">
        <f t="shared" si="21"/>
        <v>1</v>
      </c>
      <c r="S171">
        <f t="shared" si="23"/>
        <v>2</v>
      </c>
      <c r="T171">
        <f>IF(Table2[[#This Row],[Access 2023]]="Hard to reach", 4, IF(Table2[[#This Row],[Access 2023]]="Partially Accessible", 3, 2))</f>
        <v>3</v>
      </c>
      <c r="U171">
        <v>2</v>
      </c>
      <c r="W171">
        <f>SUM(Table2[[#This Row],[PIN Score]],Table2[[#This Row],[Response 2023 Score]],Table2[[#This Row],[Neglected Locality Percentage Response]],Table2[[#This Row],[Security and Access]])</f>
        <v>7</v>
      </c>
      <c r="X171">
        <f t="shared" si="26"/>
        <v>4</v>
      </c>
    </row>
    <row r="172" spans="1:24" x14ac:dyDescent="0.55000000000000004">
      <c r="A172" s="82" t="s">
        <v>456</v>
      </c>
      <c r="B172" s="81" t="s">
        <v>517</v>
      </c>
      <c r="C172" s="81" t="s">
        <v>421</v>
      </c>
      <c r="D172" s="76" t="s">
        <v>231</v>
      </c>
      <c r="E172" s="77">
        <v>94485</v>
      </c>
      <c r="F172" s="78">
        <v>25748</v>
      </c>
      <c r="G172" s="78"/>
      <c r="H172" s="78" t="s">
        <v>520</v>
      </c>
      <c r="I172" s="78">
        <v>0</v>
      </c>
      <c r="J172" s="78">
        <v>0</v>
      </c>
      <c r="K172">
        <v>0</v>
      </c>
      <c r="L172">
        <f>SUM(Table2[[#This Row],[2021 Reach]:[2023 Reach]])*5</f>
        <v>0</v>
      </c>
      <c r="M172">
        <f>Table2[[#This Row],[2023 Reach]]*5</f>
        <v>0</v>
      </c>
      <c r="N172" s="79">
        <f>IFERROR(Table2[[#This Row],[2023 Reach People]]/Table2[[#This Row],[2023 Affected People]],0)</f>
        <v>0</v>
      </c>
      <c r="O172">
        <f t="shared" si="18"/>
        <v>1</v>
      </c>
      <c r="P172">
        <f t="shared" si="24"/>
        <v>1</v>
      </c>
      <c r="Q172">
        <f t="shared" si="25"/>
        <v>1</v>
      </c>
      <c r="R172">
        <f t="shared" si="21"/>
        <v>1</v>
      </c>
      <c r="S172">
        <f t="shared" si="23"/>
        <v>2</v>
      </c>
      <c r="T172">
        <f>IF(Table2[[#This Row],[Access 2023]]="Hard to reach", 4, IF(Table2[[#This Row],[Access 2023]]="Partially Accessible", 3, 2))</f>
        <v>4</v>
      </c>
      <c r="U172">
        <v>2</v>
      </c>
      <c r="W172">
        <f>SUM(Table2[[#This Row],[PIN Score]],Table2[[#This Row],[Response 2023 Score]],Table2[[#This Row],[Neglected Locality Percentage Response]],Table2[[#This Row],[Security and Access]])</f>
        <v>8</v>
      </c>
      <c r="X172">
        <f t="shared" si="26"/>
        <v>5</v>
      </c>
    </row>
    <row r="173" spans="1:24" ht="24.6" x14ac:dyDescent="0.55000000000000004">
      <c r="A173" s="82" t="s">
        <v>456</v>
      </c>
      <c r="B173" s="81" t="s">
        <v>517</v>
      </c>
      <c r="C173" s="81" t="s">
        <v>422</v>
      </c>
      <c r="D173" s="76" t="s">
        <v>232</v>
      </c>
      <c r="E173" s="77">
        <v>452985</v>
      </c>
      <c r="F173" s="78">
        <v>0</v>
      </c>
      <c r="G173" s="78"/>
      <c r="H173" s="78" t="s">
        <v>522</v>
      </c>
      <c r="I173" s="78">
        <v>0</v>
      </c>
      <c r="J173" s="78">
        <v>0</v>
      </c>
      <c r="K173">
        <v>0</v>
      </c>
      <c r="L173">
        <f>SUM(Table2[[#This Row],[2021 Reach]:[2023 Reach]])*5</f>
        <v>0</v>
      </c>
      <c r="M173">
        <f>Table2[[#This Row],[2023 Reach]]*5</f>
        <v>0</v>
      </c>
      <c r="N173" s="79">
        <f>IFERROR(Table2[[#This Row],[2023 Reach People]]/Table2[[#This Row],[2023 Affected People]],0)</f>
        <v>0</v>
      </c>
      <c r="O173">
        <f t="shared" si="18"/>
        <v>0</v>
      </c>
      <c r="P173">
        <f t="shared" si="24"/>
        <v>1</v>
      </c>
      <c r="Q173">
        <f t="shared" si="25"/>
        <v>1</v>
      </c>
      <c r="R173">
        <f t="shared" si="21"/>
        <v>1</v>
      </c>
      <c r="S173">
        <f t="shared" si="23"/>
        <v>2</v>
      </c>
      <c r="T173">
        <f>IF(Table2[[#This Row],[Access 2023]]="Hard to reach", 4, IF(Table2[[#This Row],[Access 2023]]="Partially Accessible", 3, 2))</f>
        <v>3</v>
      </c>
      <c r="U173">
        <v>2</v>
      </c>
      <c r="W173">
        <f>SUM(Table2[[#This Row],[PIN Score]],Table2[[#This Row],[Response 2023 Score]],Table2[[#This Row],[Neglected Locality Percentage Response]],Table2[[#This Row],[Security and Access]])</f>
        <v>6</v>
      </c>
      <c r="X173">
        <f t="shared" si="26"/>
        <v>3</v>
      </c>
    </row>
    <row r="174" spans="1:24" x14ac:dyDescent="0.55000000000000004">
      <c r="A174" s="82" t="s">
        <v>456</v>
      </c>
      <c r="B174" s="81" t="s">
        <v>517</v>
      </c>
      <c r="C174" s="81" t="s">
        <v>423</v>
      </c>
      <c r="D174" s="76" t="s">
        <v>233</v>
      </c>
      <c r="E174" s="77">
        <v>244018</v>
      </c>
      <c r="F174" s="78">
        <v>21380</v>
      </c>
      <c r="G174" s="78"/>
      <c r="H174" s="78" t="s">
        <v>520</v>
      </c>
      <c r="I174" s="78">
        <v>800</v>
      </c>
      <c r="J174" s="78">
        <v>0</v>
      </c>
      <c r="K174">
        <v>77</v>
      </c>
      <c r="L174">
        <f>SUM(Table2[[#This Row],[2021 Reach]:[2023 Reach]])*5</f>
        <v>4385</v>
      </c>
      <c r="M174">
        <f>Table2[[#This Row],[2023 Reach]]*5</f>
        <v>385</v>
      </c>
      <c r="N174" s="79">
        <f>IFERROR(Table2[[#This Row],[2023 Reach People]]/Table2[[#This Row],[2023 Affected People]],0)</f>
        <v>1.5777524608840332E-3</v>
      </c>
      <c r="O174">
        <f t="shared" si="18"/>
        <v>1</v>
      </c>
      <c r="P174">
        <f t="shared" si="24"/>
        <v>0</v>
      </c>
      <c r="Q174">
        <f t="shared" si="25"/>
        <v>1</v>
      </c>
      <c r="R174">
        <f t="shared" si="21"/>
        <v>0</v>
      </c>
      <c r="S174">
        <f t="shared" si="23"/>
        <v>1</v>
      </c>
      <c r="T174">
        <f>IF(Table2[[#This Row],[Access 2023]]="Hard to reach", 4, IF(Table2[[#This Row],[Access 2023]]="Partially Accessible", 3, 2))</f>
        <v>4</v>
      </c>
      <c r="U174">
        <v>2</v>
      </c>
      <c r="W174">
        <f>SUM(Table2[[#This Row],[PIN Score]],Table2[[#This Row],[Response 2023 Score]],Table2[[#This Row],[Neglected Locality Percentage Response]],Table2[[#This Row],[Security and Access]])</f>
        <v>6</v>
      </c>
      <c r="X174">
        <f t="shared" si="26"/>
        <v>3</v>
      </c>
    </row>
    <row r="175" spans="1:24" ht="24.6" x14ac:dyDescent="0.55000000000000004">
      <c r="A175" s="82" t="s">
        <v>456</v>
      </c>
      <c r="B175" s="81" t="s">
        <v>517</v>
      </c>
      <c r="C175" s="81" t="s">
        <v>424</v>
      </c>
      <c r="D175" s="76" t="s">
        <v>234</v>
      </c>
      <c r="E175" s="77">
        <v>1005939</v>
      </c>
      <c r="F175" s="78">
        <v>7031</v>
      </c>
      <c r="G175" s="78"/>
      <c r="H175" s="78" t="s">
        <v>522</v>
      </c>
      <c r="I175" s="78">
        <v>0</v>
      </c>
      <c r="J175" s="78">
        <v>400</v>
      </c>
      <c r="K175">
        <v>1</v>
      </c>
      <c r="L175">
        <f>SUM(Table2[[#This Row],[2021 Reach]:[2023 Reach]])*5</f>
        <v>2005</v>
      </c>
      <c r="M175">
        <f>Table2[[#This Row],[2023 Reach]]*5</f>
        <v>5</v>
      </c>
      <c r="N175" s="79">
        <f>IFERROR(Table2[[#This Row],[2023 Reach People]]/Table2[[#This Row],[2023 Affected People]],0)</f>
        <v>4.9704803173949915E-6</v>
      </c>
      <c r="O175">
        <f t="shared" si="18"/>
        <v>1</v>
      </c>
      <c r="P175">
        <f t="shared" si="24"/>
        <v>1</v>
      </c>
      <c r="Q175">
        <f t="shared" si="25"/>
        <v>0</v>
      </c>
      <c r="R175">
        <f t="shared" si="21"/>
        <v>0</v>
      </c>
      <c r="S175">
        <f t="shared" si="23"/>
        <v>1</v>
      </c>
      <c r="T175">
        <f>IF(Table2[[#This Row],[Access 2023]]="Hard to reach", 4, IF(Table2[[#This Row],[Access 2023]]="Partially Accessible", 3, 2))</f>
        <v>3</v>
      </c>
      <c r="U175">
        <v>2</v>
      </c>
      <c r="W175">
        <f>SUM(Table2[[#This Row],[PIN Score]],Table2[[#This Row],[Response 2023 Score]],Table2[[#This Row],[Neglected Locality Percentage Response]],Table2[[#This Row],[Security and Access]])</f>
        <v>5</v>
      </c>
      <c r="X175">
        <f t="shared" si="26"/>
        <v>2</v>
      </c>
    </row>
    <row r="176" spans="1:24" ht="24.6" x14ac:dyDescent="0.55000000000000004">
      <c r="A176" s="82" t="s">
        <v>456</v>
      </c>
      <c r="B176" s="81" t="s">
        <v>517</v>
      </c>
      <c r="C176" s="81" t="s">
        <v>425</v>
      </c>
      <c r="D176" s="76" t="s">
        <v>235</v>
      </c>
      <c r="E176" s="77">
        <v>420708</v>
      </c>
      <c r="F176" s="78">
        <v>46663</v>
      </c>
      <c r="G176" s="78"/>
      <c r="H176" s="78" t="s">
        <v>522</v>
      </c>
      <c r="I176" s="78">
        <v>0</v>
      </c>
      <c r="J176" s="78">
        <v>0</v>
      </c>
      <c r="K176">
        <v>20</v>
      </c>
      <c r="L176">
        <f>SUM(Table2[[#This Row],[2021 Reach]:[2023 Reach]])*5</f>
        <v>100</v>
      </c>
      <c r="M176">
        <f>Table2[[#This Row],[2023 Reach]]*5</f>
        <v>100</v>
      </c>
      <c r="N176" s="79">
        <f>IFERROR(Table2[[#This Row],[2023 Reach People]]/Table2[[#This Row],[2023 Affected People]],0)</f>
        <v>2.3769455299162365E-4</v>
      </c>
      <c r="O176">
        <f t="shared" si="18"/>
        <v>1</v>
      </c>
      <c r="P176">
        <f t="shared" si="24"/>
        <v>1</v>
      </c>
      <c r="Q176">
        <f t="shared" si="25"/>
        <v>1</v>
      </c>
      <c r="R176">
        <f t="shared" si="21"/>
        <v>0</v>
      </c>
      <c r="S176">
        <f t="shared" si="23"/>
        <v>1</v>
      </c>
      <c r="T176">
        <f>IF(Table2[[#This Row],[Access 2023]]="Hard to reach", 4, IF(Table2[[#This Row],[Access 2023]]="Partially Accessible", 3, 2))</f>
        <v>3</v>
      </c>
      <c r="U176">
        <v>2</v>
      </c>
      <c r="W176">
        <f>SUM(Table2[[#This Row],[PIN Score]],Table2[[#This Row],[Response 2023 Score]],Table2[[#This Row],[Neglected Locality Percentage Response]],Table2[[#This Row],[Security and Access]])</f>
        <v>5</v>
      </c>
      <c r="X176">
        <f t="shared" si="26"/>
        <v>2</v>
      </c>
    </row>
    <row r="177" spans="1:24" ht="27.6" x14ac:dyDescent="0.55000000000000004">
      <c r="A177" s="82" t="s">
        <v>456</v>
      </c>
      <c r="B177" s="81" t="s">
        <v>517</v>
      </c>
      <c r="C177" s="81" t="s">
        <v>426</v>
      </c>
      <c r="D177" s="76" t="s">
        <v>236</v>
      </c>
      <c r="E177" s="77">
        <v>296481</v>
      </c>
      <c r="F177" s="78">
        <v>16569</v>
      </c>
      <c r="G177" s="78"/>
      <c r="H177" s="78" t="s">
        <v>522</v>
      </c>
      <c r="I177" s="78">
        <v>0</v>
      </c>
      <c r="J177" s="78">
        <v>831</v>
      </c>
      <c r="K177">
        <v>0</v>
      </c>
      <c r="L177">
        <f>SUM(Table2[[#This Row],[2021 Reach]:[2023 Reach]])*5</f>
        <v>4155</v>
      </c>
      <c r="M177">
        <f>Table2[[#This Row],[2023 Reach]]*5</f>
        <v>0</v>
      </c>
      <c r="N177" s="79">
        <f>IFERROR(Table2[[#This Row],[2023 Reach People]]/Table2[[#This Row],[2023 Affected People]],0)</f>
        <v>0</v>
      </c>
      <c r="O177">
        <f t="shared" si="18"/>
        <v>1</v>
      </c>
      <c r="P177">
        <f t="shared" si="24"/>
        <v>1</v>
      </c>
      <c r="Q177">
        <f t="shared" si="25"/>
        <v>0</v>
      </c>
      <c r="R177">
        <f t="shared" si="21"/>
        <v>1</v>
      </c>
      <c r="S177">
        <f t="shared" si="23"/>
        <v>2</v>
      </c>
      <c r="T177">
        <f>IF(Table2[[#This Row],[Access 2023]]="Hard to reach", 4, IF(Table2[[#This Row],[Access 2023]]="Partially Accessible", 3, 2))</f>
        <v>3</v>
      </c>
      <c r="U177">
        <v>2</v>
      </c>
      <c r="W177">
        <f>SUM(Table2[[#This Row],[PIN Score]],Table2[[#This Row],[Response 2023 Score]],Table2[[#This Row],[Neglected Locality Percentage Response]],Table2[[#This Row],[Security and Access]])</f>
        <v>7</v>
      </c>
      <c r="X177">
        <f t="shared" si="26"/>
        <v>4</v>
      </c>
    </row>
    <row r="178" spans="1:24" ht="24.6" x14ac:dyDescent="0.55000000000000004">
      <c r="A178" s="82" t="s">
        <v>456</v>
      </c>
      <c r="B178" s="81" t="s">
        <v>517</v>
      </c>
      <c r="C178" s="81" t="s">
        <v>427</v>
      </c>
      <c r="D178" s="76" t="s">
        <v>237</v>
      </c>
      <c r="E178" s="77">
        <v>375567</v>
      </c>
      <c r="F178" s="78">
        <v>14678</v>
      </c>
      <c r="G178" s="78"/>
      <c r="H178" s="78" t="s">
        <v>522</v>
      </c>
      <c r="I178" s="78">
        <v>0</v>
      </c>
      <c r="J178" s="78">
        <v>0</v>
      </c>
      <c r="K178">
        <v>0</v>
      </c>
      <c r="L178">
        <f>SUM(Table2[[#This Row],[2021 Reach]:[2023 Reach]])*5</f>
        <v>0</v>
      </c>
      <c r="M178">
        <f>Table2[[#This Row],[2023 Reach]]*5</f>
        <v>0</v>
      </c>
      <c r="N178" s="79">
        <f>IFERROR(Table2[[#This Row],[2023 Reach People]]/Table2[[#This Row],[2023 Affected People]],0)</f>
        <v>0</v>
      </c>
      <c r="O178">
        <f t="shared" si="18"/>
        <v>1</v>
      </c>
      <c r="P178">
        <f t="shared" si="24"/>
        <v>1</v>
      </c>
      <c r="Q178">
        <f t="shared" si="25"/>
        <v>1</v>
      </c>
      <c r="R178">
        <f t="shared" si="21"/>
        <v>1</v>
      </c>
      <c r="S178">
        <f t="shared" si="23"/>
        <v>2</v>
      </c>
      <c r="T178">
        <f>IF(Table2[[#This Row],[Access 2023]]="Hard to reach", 4, IF(Table2[[#This Row],[Access 2023]]="Partially Accessible", 3, 2))</f>
        <v>3</v>
      </c>
      <c r="U178">
        <v>2</v>
      </c>
      <c r="W178">
        <f>SUM(Table2[[#This Row],[PIN Score]],Table2[[#This Row],[Response 2023 Score]],Table2[[#This Row],[Neglected Locality Percentage Response]],Table2[[#This Row],[Security and Access]])</f>
        <v>7</v>
      </c>
      <c r="X178">
        <f t="shared" si="26"/>
        <v>4</v>
      </c>
    </row>
    <row r="179" spans="1:24" ht="24.6" x14ac:dyDescent="0.55000000000000004">
      <c r="A179" s="82" t="s">
        <v>456</v>
      </c>
      <c r="B179" s="81" t="s">
        <v>517</v>
      </c>
      <c r="C179" s="81" t="s">
        <v>428</v>
      </c>
      <c r="D179" s="76" t="s">
        <v>238</v>
      </c>
      <c r="E179" s="77">
        <v>894494</v>
      </c>
      <c r="F179" s="78">
        <v>14210</v>
      </c>
      <c r="G179" s="78"/>
      <c r="H179" s="78" t="s">
        <v>522</v>
      </c>
      <c r="I179" s="78">
        <v>0</v>
      </c>
      <c r="J179" s="78">
        <v>1217</v>
      </c>
      <c r="K179">
        <v>0</v>
      </c>
      <c r="L179">
        <f>SUM(Table2[[#This Row],[2021 Reach]:[2023 Reach]])*5</f>
        <v>6085</v>
      </c>
      <c r="M179">
        <f>Table2[[#This Row],[2023 Reach]]*5</f>
        <v>0</v>
      </c>
      <c r="N179" s="79">
        <f>IFERROR(Table2[[#This Row],[2023 Reach People]]/Table2[[#This Row],[2023 Affected People]],0)</f>
        <v>0</v>
      </c>
      <c r="O179">
        <f t="shared" si="18"/>
        <v>1</v>
      </c>
      <c r="P179">
        <f t="shared" si="24"/>
        <v>1</v>
      </c>
      <c r="Q179">
        <f t="shared" si="25"/>
        <v>0</v>
      </c>
      <c r="R179">
        <f t="shared" si="21"/>
        <v>1</v>
      </c>
      <c r="S179">
        <f t="shared" si="23"/>
        <v>2</v>
      </c>
      <c r="T179">
        <f>IF(Table2[[#This Row],[Access 2023]]="Hard to reach", 4, IF(Table2[[#This Row],[Access 2023]]="Partially Accessible", 3, 2))</f>
        <v>3</v>
      </c>
      <c r="U179">
        <v>2</v>
      </c>
      <c r="W179">
        <f>SUM(Table2[[#This Row],[PIN Score]],Table2[[#This Row],[Response 2023 Score]],Table2[[#This Row],[Neglected Locality Percentage Response]],Table2[[#This Row],[Security and Access]])</f>
        <v>7</v>
      </c>
      <c r="X179">
        <f t="shared" si="26"/>
        <v>4</v>
      </c>
    </row>
    <row r="180" spans="1:24" ht="24.6" x14ac:dyDescent="0.55000000000000004">
      <c r="A180" s="82" t="s">
        <v>456</v>
      </c>
      <c r="B180" s="81" t="s">
        <v>517</v>
      </c>
      <c r="C180" s="81" t="s">
        <v>429</v>
      </c>
      <c r="D180" s="76" t="s">
        <v>239</v>
      </c>
      <c r="E180" s="77">
        <v>580425</v>
      </c>
      <c r="F180" s="78">
        <v>20774</v>
      </c>
      <c r="G180" s="78"/>
      <c r="H180" s="78" t="s">
        <v>522</v>
      </c>
      <c r="I180" s="78">
        <v>0</v>
      </c>
      <c r="J180" s="78">
        <v>0</v>
      </c>
      <c r="K180">
        <v>0</v>
      </c>
      <c r="L180">
        <f>SUM(Table2[[#This Row],[2021 Reach]:[2023 Reach]])*5</f>
        <v>0</v>
      </c>
      <c r="M180">
        <f>Table2[[#This Row],[2023 Reach]]*5</f>
        <v>0</v>
      </c>
      <c r="N180" s="79">
        <f>IFERROR(Table2[[#This Row],[2023 Reach People]]/Table2[[#This Row],[2023 Affected People]],0)</f>
        <v>0</v>
      </c>
      <c r="O180">
        <f t="shared" si="18"/>
        <v>1</v>
      </c>
      <c r="P180">
        <f t="shared" si="24"/>
        <v>1</v>
      </c>
      <c r="Q180">
        <f t="shared" si="25"/>
        <v>1</v>
      </c>
      <c r="R180">
        <f t="shared" si="21"/>
        <v>1</v>
      </c>
      <c r="S180">
        <f t="shared" si="23"/>
        <v>2</v>
      </c>
      <c r="T180">
        <f>IF(Table2[[#This Row],[Access 2023]]="Hard to reach", 4, IF(Table2[[#This Row],[Access 2023]]="Partially Accessible", 3, 2))</f>
        <v>3</v>
      </c>
      <c r="U180">
        <v>2</v>
      </c>
      <c r="W180">
        <f>SUM(Table2[[#This Row],[PIN Score]],Table2[[#This Row],[Response 2023 Score]],Table2[[#This Row],[Neglected Locality Percentage Response]],Table2[[#This Row],[Security and Access]])</f>
        <v>7</v>
      </c>
      <c r="X180">
        <f t="shared" si="26"/>
        <v>4</v>
      </c>
    </row>
    <row r="181" spans="1:24" ht="24.6" x14ac:dyDescent="0.55000000000000004">
      <c r="A181" s="82" t="s">
        <v>456</v>
      </c>
      <c r="B181" s="81" t="s">
        <v>517</v>
      </c>
      <c r="C181" s="81" t="s">
        <v>430</v>
      </c>
      <c r="D181" s="76" t="s">
        <v>240</v>
      </c>
      <c r="E181" s="77">
        <v>727379</v>
      </c>
      <c r="F181" s="78">
        <v>8267</v>
      </c>
      <c r="G181" s="78"/>
      <c r="H181" s="78" t="s">
        <v>522</v>
      </c>
      <c r="I181" s="78">
        <v>0</v>
      </c>
      <c r="J181" s="78">
        <v>1496</v>
      </c>
      <c r="K181">
        <v>1625</v>
      </c>
      <c r="L181">
        <f>SUM(Table2[[#This Row],[2021 Reach]:[2023 Reach]])*5</f>
        <v>15605</v>
      </c>
      <c r="M181">
        <f>Table2[[#This Row],[2023 Reach]]*5</f>
        <v>8125</v>
      </c>
      <c r="N181" s="79">
        <f>IFERROR(Table2[[#This Row],[2023 Reach People]]/Table2[[#This Row],[2023 Affected People]],0)</f>
        <v>1.1170242748278408E-2</v>
      </c>
      <c r="O181">
        <f t="shared" si="18"/>
        <v>1</v>
      </c>
      <c r="P181">
        <f t="shared" si="24"/>
        <v>1</v>
      </c>
      <c r="Q181">
        <f t="shared" si="25"/>
        <v>0</v>
      </c>
      <c r="R181">
        <f t="shared" si="21"/>
        <v>0</v>
      </c>
      <c r="S181">
        <f t="shared" si="23"/>
        <v>1</v>
      </c>
      <c r="T181">
        <f>IF(Table2[[#This Row],[Access 2023]]="Hard to reach", 4, IF(Table2[[#This Row],[Access 2023]]="Partially Accessible", 3, 2))</f>
        <v>3</v>
      </c>
      <c r="U181">
        <v>2</v>
      </c>
      <c r="W181">
        <f>SUM(Table2[[#This Row],[PIN Score]],Table2[[#This Row],[Response 2023 Score]],Table2[[#This Row],[Neglected Locality Percentage Response]],Table2[[#This Row],[Security and Access]])</f>
        <v>5</v>
      </c>
      <c r="X181">
        <f t="shared" si="26"/>
        <v>2</v>
      </c>
    </row>
    <row r="182" spans="1:24" ht="24.6" x14ac:dyDescent="0.55000000000000004">
      <c r="A182" s="82" t="s">
        <v>456</v>
      </c>
      <c r="B182" s="81" t="s">
        <v>517</v>
      </c>
      <c r="C182" s="81" t="s">
        <v>431</v>
      </c>
      <c r="D182" s="76" t="s">
        <v>241</v>
      </c>
      <c r="E182" s="77">
        <v>861786</v>
      </c>
      <c r="F182" s="78">
        <v>0</v>
      </c>
      <c r="G182" s="78"/>
      <c r="H182" s="78" t="s">
        <v>522</v>
      </c>
      <c r="I182" s="78">
        <v>0</v>
      </c>
      <c r="J182" s="78">
        <v>0</v>
      </c>
      <c r="K182">
        <v>0</v>
      </c>
      <c r="L182">
        <f>SUM(Table2[[#This Row],[2021 Reach]:[2023 Reach]])*5</f>
        <v>0</v>
      </c>
      <c r="M182">
        <f>Table2[[#This Row],[2023 Reach]]*5</f>
        <v>0</v>
      </c>
      <c r="N182" s="79">
        <f>IFERROR(Table2[[#This Row],[2023 Reach People]]/Table2[[#This Row],[2023 Affected People]],0)</f>
        <v>0</v>
      </c>
      <c r="O182">
        <f t="shared" si="18"/>
        <v>0</v>
      </c>
      <c r="P182">
        <f t="shared" si="24"/>
        <v>1</v>
      </c>
      <c r="Q182">
        <f t="shared" si="25"/>
        <v>1</v>
      </c>
      <c r="R182">
        <f t="shared" si="21"/>
        <v>1</v>
      </c>
      <c r="S182">
        <f t="shared" si="23"/>
        <v>2</v>
      </c>
      <c r="T182">
        <f>IF(Table2[[#This Row],[Access 2023]]="Hard to reach", 4, IF(Table2[[#This Row],[Access 2023]]="Partially Accessible", 3, 2))</f>
        <v>3</v>
      </c>
      <c r="U182">
        <v>2</v>
      </c>
      <c r="W182">
        <f>SUM(Table2[[#This Row],[PIN Score]],Table2[[#This Row],[Response 2023 Score]],Table2[[#This Row],[Neglected Locality Percentage Response]],Table2[[#This Row],[Security and Access]])</f>
        <v>6</v>
      </c>
      <c r="X182">
        <f t="shared" si="26"/>
        <v>3</v>
      </c>
    </row>
    <row r="183" spans="1:24" x14ac:dyDescent="0.55000000000000004">
      <c r="A183" s="82" t="s">
        <v>457</v>
      </c>
      <c r="B183" s="81" t="s">
        <v>518</v>
      </c>
      <c r="C183" s="81" t="s">
        <v>432</v>
      </c>
      <c r="D183" s="76" t="s">
        <v>242</v>
      </c>
      <c r="E183" s="77">
        <v>378491.2</v>
      </c>
      <c r="F183" s="78">
        <v>76308</v>
      </c>
      <c r="G183" s="78"/>
      <c r="H183" s="78" t="s">
        <v>521</v>
      </c>
      <c r="I183" s="78">
        <v>0</v>
      </c>
      <c r="J183" s="78">
        <v>0</v>
      </c>
      <c r="K183">
        <v>26</v>
      </c>
      <c r="L183">
        <f>SUM(Table2[[#This Row],[2021 Reach]:[2023 Reach]])*5</f>
        <v>130</v>
      </c>
      <c r="M183">
        <f>Table2[[#This Row],[2023 Reach]]*5</f>
        <v>130</v>
      </c>
      <c r="N183" s="79">
        <f>IFERROR(Table2[[#This Row],[2023 Reach People]]/Table2[[#This Row],[2023 Affected People]],0)</f>
        <v>3.434690159242804E-4</v>
      </c>
      <c r="O183">
        <f t="shared" si="18"/>
        <v>1</v>
      </c>
      <c r="P183">
        <f t="shared" si="24"/>
        <v>1</v>
      </c>
      <c r="Q183">
        <f t="shared" si="25"/>
        <v>1</v>
      </c>
      <c r="R183">
        <f t="shared" si="21"/>
        <v>0</v>
      </c>
      <c r="S183">
        <f t="shared" si="23"/>
        <v>1</v>
      </c>
      <c r="T183">
        <f>IF(Table2[[#This Row],[Access 2023]]="Hard to reach", 4, IF(Table2[[#This Row],[Access 2023]]="Partially Accessible", 3, 2))</f>
        <v>2</v>
      </c>
      <c r="U183">
        <v>4</v>
      </c>
      <c r="W183">
        <f>SUM(Table2[[#This Row],[PIN Score]],Table2[[#This Row],[Response 2023 Score]],Table2[[#This Row],[Neglected Locality Percentage Response]],Table2[[#This Row],[Security and Access]])</f>
        <v>4</v>
      </c>
      <c r="X183">
        <f t="shared" si="26"/>
        <v>1</v>
      </c>
    </row>
    <row r="184" spans="1:24" x14ac:dyDescent="0.55000000000000004">
      <c r="A184" s="82" t="s">
        <v>457</v>
      </c>
      <c r="B184" s="81" t="s">
        <v>518</v>
      </c>
      <c r="C184" s="81" t="s">
        <v>433</v>
      </c>
      <c r="D184" s="76" t="s">
        <v>243</v>
      </c>
      <c r="E184" s="77">
        <v>336673.1</v>
      </c>
      <c r="F184" s="78">
        <v>188642</v>
      </c>
      <c r="G184" s="78"/>
      <c r="H184" s="78" t="s">
        <v>521</v>
      </c>
      <c r="I184" s="78">
        <v>3300</v>
      </c>
      <c r="J184" s="78">
        <v>1992</v>
      </c>
      <c r="K184">
        <v>8990</v>
      </c>
      <c r="L184">
        <f>SUM(Table2[[#This Row],[2021 Reach]:[2023 Reach]])*5</f>
        <v>71410</v>
      </c>
      <c r="M184">
        <f>Table2[[#This Row],[2023 Reach]]*5</f>
        <v>44950</v>
      </c>
      <c r="N184" s="79">
        <f>IFERROR(Table2[[#This Row],[2023 Reach People]]/Table2[[#This Row],[2023 Affected People]],0)</f>
        <v>0.13351230021050095</v>
      </c>
      <c r="O184">
        <f t="shared" si="18"/>
        <v>3</v>
      </c>
      <c r="P184">
        <f t="shared" si="24"/>
        <v>0</v>
      </c>
      <c r="Q184">
        <f t="shared" si="25"/>
        <v>0</v>
      </c>
      <c r="R184">
        <f t="shared" si="21"/>
        <v>0</v>
      </c>
      <c r="S184">
        <f t="shared" si="23"/>
        <v>1</v>
      </c>
      <c r="T184">
        <f>IF(Table2[[#This Row],[Access 2023]]="Hard to reach", 4, IF(Table2[[#This Row],[Access 2023]]="Partially Accessible", 3, 2))</f>
        <v>2</v>
      </c>
      <c r="U184">
        <v>4</v>
      </c>
      <c r="W184">
        <f>SUM(Table2[[#This Row],[PIN Score]],Table2[[#This Row],[Response 2023 Score]],Table2[[#This Row],[Neglected Locality Percentage Response]],Table2[[#This Row],[Security and Access]])</f>
        <v>6</v>
      </c>
      <c r="X184">
        <f t="shared" si="26"/>
        <v>3</v>
      </c>
    </row>
    <row r="185" spans="1:24" x14ac:dyDescent="0.55000000000000004">
      <c r="A185" s="82" t="s">
        <v>457</v>
      </c>
      <c r="B185" s="81" t="s">
        <v>518</v>
      </c>
      <c r="C185" s="81" t="s">
        <v>434</v>
      </c>
      <c r="D185" s="76" t="s">
        <v>244</v>
      </c>
      <c r="E185" s="77">
        <v>71430</v>
      </c>
      <c r="F185" s="78">
        <v>62542</v>
      </c>
      <c r="G185" s="78"/>
      <c r="H185" s="78" t="s">
        <v>520</v>
      </c>
      <c r="I185" s="78">
        <v>0</v>
      </c>
      <c r="J185" s="78">
        <v>0</v>
      </c>
      <c r="K185">
        <v>0</v>
      </c>
      <c r="L185">
        <f>SUM(Table2[[#This Row],[2021 Reach]:[2023 Reach]])*5</f>
        <v>0</v>
      </c>
      <c r="M185">
        <f>Table2[[#This Row],[2023 Reach]]*5</f>
        <v>0</v>
      </c>
      <c r="N185" s="79">
        <f>IFERROR(Table2[[#This Row],[2023 Reach People]]/Table2[[#This Row],[2023 Affected People]],0)</f>
        <v>0</v>
      </c>
      <c r="O185">
        <f t="shared" si="18"/>
        <v>1</v>
      </c>
      <c r="P185">
        <f t="shared" si="24"/>
        <v>1</v>
      </c>
      <c r="Q185">
        <f t="shared" si="25"/>
        <v>1</v>
      </c>
      <c r="R185">
        <f t="shared" si="21"/>
        <v>1</v>
      </c>
      <c r="S185">
        <f t="shared" si="23"/>
        <v>2</v>
      </c>
      <c r="T185">
        <f>IF(Table2[[#This Row],[Access 2023]]="Hard to reach", 4, IF(Table2[[#This Row],[Access 2023]]="Partially Accessible", 3, 2))</f>
        <v>4</v>
      </c>
      <c r="U185">
        <v>3</v>
      </c>
      <c r="W185">
        <f>SUM(Table2[[#This Row],[PIN Score]],Table2[[#This Row],[Response 2023 Score]],Table2[[#This Row],[Neglected Locality Percentage Response]],Table2[[#This Row],[Security and Access]])</f>
        <v>8</v>
      </c>
      <c r="X185">
        <f t="shared" si="26"/>
        <v>5</v>
      </c>
    </row>
    <row r="186" spans="1:24" ht="27.6" x14ac:dyDescent="0.55000000000000004">
      <c r="A186" s="82" t="s">
        <v>457</v>
      </c>
      <c r="B186" s="81" t="s">
        <v>518</v>
      </c>
      <c r="C186" s="81" t="s">
        <v>435</v>
      </c>
      <c r="D186" s="76" t="s">
        <v>245</v>
      </c>
      <c r="E186" s="77">
        <v>183334.6</v>
      </c>
      <c r="F186" s="78">
        <v>229749</v>
      </c>
      <c r="G186" s="78"/>
      <c r="H186" s="78" t="s">
        <v>520</v>
      </c>
      <c r="I186" s="78">
        <v>20000</v>
      </c>
      <c r="J186" s="78">
        <v>17055</v>
      </c>
      <c r="K186">
        <v>18978</v>
      </c>
      <c r="L186">
        <f>SUM(Table2[[#This Row],[2021 Reach]:[2023 Reach]])*5</f>
        <v>280165</v>
      </c>
      <c r="M186">
        <f>Table2[[#This Row],[2023 Reach]]*5</f>
        <v>94890</v>
      </c>
      <c r="N186" s="79">
        <f>IFERROR(Table2[[#This Row],[2023 Reach People]]/Table2[[#This Row],[2023 Affected People]],0)</f>
        <v>0.51757824218669035</v>
      </c>
      <c r="O186">
        <f t="shared" si="18"/>
        <v>3</v>
      </c>
      <c r="P186">
        <f t="shared" si="24"/>
        <v>0</v>
      </c>
      <c r="Q186">
        <f t="shared" si="25"/>
        <v>0</v>
      </c>
      <c r="R186">
        <f t="shared" si="21"/>
        <v>0</v>
      </c>
      <c r="S186">
        <f t="shared" si="23"/>
        <v>0</v>
      </c>
      <c r="T186">
        <f>IF(Table2[[#This Row],[Access 2023]]="Hard to reach", 4, IF(Table2[[#This Row],[Access 2023]]="Partially Accessible", 3, 2))</f>
        <v>4</v>
      </c>
      <c r="U186">
        <v>3</v>
      </c>
      <c r="W186">
        <f>SUM(Table2[[#This Row],[PIN Score]],Table2[[#This Row],[Response 2023 Score]],Table2[[#This Row],[Neglected Locality Percentage Response]],Table2[[#This Row],[Security and Access]])</f>
        <v>7</v>
      </c>
      <c r="X186">
        <f t="shared" si="26"/>
        <v>4</v>
      </c>
    </row>
    <row r="187" spans="1:24" x14ac:dyDescent="0.55000000000000004">
      <c r="A187" s="82" t="s">
        <v>457</v>
      </c>
      <c r="B187" s="81" t="s">
        <v>518</v>
      </c>
      <c r="C187" s="81" t="s">
        <v>436</v>
      </c>
      <c r="D187" s="76" t="s">
        <v>246</v>
      </c>
      <c r="E187" s="77">
        <v>491936.79000000004</v>
      </c>
      <c r="F187" s="78">
        <v>44783</v>
      </c>
      <c r="G187" s="78"/>
      <c r="H187" s="78" t="s">
        <v>521</v>
      </c>
      <c r="I187" s="78">
        <v>0</v>
      </c>
      <c r="J187" s="78">
        <v>0</v>
      </c>
      <c r="K187">
        <v>0</v>
      </c>
      <c r="L187">
        <f>SUM(Table2[[#This Row],[2021 Reach]:[2023 Reach]])*5</f>
        <v>0</v>
      </c>
      <c r="M187">
        <f>Table2[[#This Row],[2023 Reach]]*5</f>
        <v>0</v>
      </c>
      <c r="N187" s="79">
        <f>IFERROR(Table2[[#This Row],[2023 Reach People]]/Table2[[#This Row],[2023 Affected People]],0)</f>
        <v>0</v>
      </c>
      <c r="O187">
        <f t="shared" si="18"/>
        <v>1</v>
      </c>
      <c r="P187">
        <f t="shared" si="24"/>
        <v>1</v>
      </c>
      <c r="Q187">
        <f t="shared" si="25"/>
        <v>1</v>
      </c>
      <c r="R187">
        <f t="shared" si="21"/>
        <v>1</v>
      </c>
      <c r="S187">
        <f t="shared" si="23"/>
        <v>2</v>
      </c>
      <c r="T187">
        <f>IF(Table2[[#This Row],[Access 2023]]="Hard to reach", 4, IF(Table2[[#This Row],[Access 2023]]="Partially Accessible", 3, 2))</f>
        <v>2</v>
      </c>
      <c r="U187">
        <v>2</v>
      </c>
      <c r="W187">
        <f>SUM(Table2[[#This Row],[PIN Score]],Table2[[#This Row],[Response 2023 Score]],Table2[[#This Row],[Neglected Locality Percentage Response]],Table2[[#This Row],[Security and Access]])</f>
        <v>6</v>
      </c>
      <c r="X187">
        <f t="shared" si="26"/>
        <v>3</v>
      </c>
    </row>
    <row r="188" spans="1:24" x14ac:dyDescent="0.55000000000000004">
      <c r="A188" s="82" t="s">
        <v>457</v>
      </c>
      <c r="B188" s="81" t="s">
        <v>518</v>
      </c>
      <c r="C188" s="81" t="s">
        <v>437</v>
      </c>
      <c r="D188" s="76" t="s">
        <v>247</v>
      </c>
      <c r="E188" s="77">
        <v>286767.5</v>
      </c>
      <c r="F188" s="78">
        <v>65303</v>
      </c>
      <c r="G188" s="78"/>
      <c r="H188" s="78" t="s">
        <v>521</v>
      </c>
      <c r="I188" s="78">
        <v>0</v>
      </c>
      <c r="J188" s="78">
        <v>0</v>
      </c>
      <c r="K188">
        <v>206</v>
      </c>
      <c r="L188">
        <f>SUM(Table2[[#This Row],[2021 Reach]:[2023 Reach]])*5</f>
        <v>1030</v>
      </c>
      <c r="M188">
        <f>Table2[[#This Row],[2023 Reach]]*5</f>
        <v>1030</v>
      </c>
      <c r="N188" s="79">
        <f>IFERROR(Table2[[#This Row],[2023 Reach People]]/Table2[[#This Row],[2023 Affected People]],0)</f>
        <v>3.5917598751601908E-3</v>
      </c>
      <c r="O188">
        <f t="shared" si="18"/>
        <v>1</v>
      </c>
      <c r="P188">
        <f t="shared" si="24"/>
        <v>1</v>
      </c>
      <c r="Q188">
        <f t="shared" si="25"/>
        <v>1</v>
      </c>
      <c r="R188">
        <f t="shared" si="21"/>
        <v>0</v>
      </c>
      <c r="S188">
        <f t="shared" si="23"/>
        <v>1</v>
      </c>
      <c r="T188">
        <f>IF(Table2[[#This Row],[Access 2023]]="Hard to reach", 4, IF(Table2[[#This Row],[Access 2023]]="Partially Accessible", 3, 2))</f>
        <v>2</v>
      </c>
      <c r="U188">
        <v>2</v>
      </c>
      <c r="W188">
        <f>SUM(Table2[[#This Row],[PIN Score]],Table2[[#This Row],[Response 2023 Score]],Table2[[#This Row],[Neglected Locality Percentage Response]],Table2[[#This Row],[Security and Access]])</f>
        <v>4</v>
      </c>
      <c r="X188">
        <f t="shared" si="26"/>
        <v>1</v>
      </c>
    </row>
    <row r="189" spans="1:24" x14ac:dyDescent="0.55000000000000004">
      <c r="A189" s="82" t="s">
        <v>457</v>
      </c>
      <c r="B189" s="81" t="s">
        <v>518</v>
      </c>
      <c r="C189" s="81" t="s">
        <v>438</v>
      </c>
      <c r="D189" s="76" t="s">
        <v>248</v>
      </c>
      <c r="E189" s="77">
        <v>93641</v>
      </c>
      <c r="F189" s="78">
        <v>24704</v>
      </c>
      <c r="G189" s="78"/>
      <c r="H189" s="78" t="s">
        <v>521</v>
      </c>
      <c r="I189" s="78">
        <v>0</v>
      </c>
      <c r="J189" s="78">
        <v>0</v>
      </c>
      <c r="K189">
        <v>1135</v>
      </c>
      <c r="L189">
        <f>SUM(Table2[[#This Row],[2021 Reach]:[2023 Reach]])*5</f>
        <v>5675</v>
      </c>
      <c r="M189">
        <f>Table2[[#This Row],[2023 Reach]]*5</f>
        <v>5675</v>
      </c>
      <c r="N189" s="79">
        <f>IFERROR(Table2[[#This Row],[2023 Reach People]]/Table2[[#This Row],[2023 Affected People]],0)</f>
        <v>6.0603795346055679E-2</v>
      </c>
      <c r="O189">
        <f t="shared" si="18"/>
        <v>1</v>
      </c>
      <c r="P189">
        <f t="shared" si="24"/>
        <v>1</v>
      </c>
      <c r="Q189">
        <f t="shared" si="25"/>
        <v>1</v>
      </c>
      <c r="R189">
        <f t="shared" si="21"/>
        <v>0</v>
      </c>
      <c r="S189">
        <f t="shared" si="23"/>
        <v>1</v>
      </c>
      <c r="T189">
        <f>IF(Table2[[#This Row],[Access 2023]]="Hard to reach", 4, IF(Table2[[#This Row],[Access 2023]]="Partially Accessible", 3, 2))</f>
        <v>2</v>
      </c>
      <c r="U189">
        <v>2</v>
      </c>
      <c r="W189">
        <f>SUM(Table2[[#This Row],[PIN Score]],Table2[[#This Row],[Response 2023 Score]],Table2[[#This Row],[Neglected Locality Percentage Response]],Table2[[#This Row],[Security and Access]])</f>
        <v>4</v>
      </c>
      <c r="X189">
        <f t="shared" si="26"/>
        <v>1</v>
      </c>
    </row>
    <row r="190" spans="1:24" ht="24.6" x14ac:dyDescent="0.55000000000000004">
      <c r="A190" s="82" t="s">
        <v>457</v>
      </c>
      <c r="B190" s="81" t="s">
        <v>518</v>
      </c>
      <c r="C190" s="81" t="s">
        <v>439</v>
      </c>
      <c r="D190" s="76" t="s">
        <v>249</v>
      </c>
      <c r="E190" s="77">
        <v>161374</v>
      </c>
      <c r="F190" s="78">
        <v>22894</v>
      </c>
      <c r="G190" s="78"/>
      <c r="H190" s="78" t="s">
        <v>522</v>
      </c>
      <c r="I190" s="78">
        <v>0</v>
      </c>
      <c r="J190" s="78">
        <v>0</v>
      </c>
      <c r="K190">
        <v>0</v>
      </c>
      <c r="L190">
        <f>SUM(Table2[[#This Row],[2021 Reach]:[2023 Reach]])*5</f>
        <v>0</v>
      </c>
      <c r="M190">
        <f>Table2[[#This Row],[2023 Reach]]*5</f>
        <v>0</v>
      </c>
      <c r="N190" s="79">
        <f>IFERROR(Table2[[#This Row],[2023 Reach People]]/Table2[[#This Row],[2023 Affected People]],0)</f>
        <v>0</v>
      </c>
      <c r="O190">
        <f t="shared" si="18"/>
        <v>1</v>
      </c>
      <c r="P190">
        <f t="shared" si="24"/>
        <v>1</v>
      </c>
      <c r="Q190">
        <f t="shared" si="25"/>
        <v>1</v>
      </c>
      <c r="R190">
        <f t="shared" si="21"/>
        <v>1</v>
      </c>
      <c r="S190">
        <f t="shared" si="23"/>
        <v>2</v>
      </c>
      <c r="T190">
        <f>IF(Table2[[#This Row],[Access 2023]]="Hard to reach", 4, IF(Table2[[#This Row],[Access 2023]]="Partially Accessible", 3, 2))</f>
        <v>3</v>
      </c>
      <c r="U190">
        <v>2</v>
      </c>
      <c r="W190">
        <f>SUM(Table2[[#This Row],[PIN Score]],Table2[[#This Row],[Response 2023 Score]],Table2[[#This Row],[Neglected Locality Percentage Response]],Table2[[#This Row],[Security and Access]])</f>
        <v>7</v>
      </c>
      <c r="X190">
        <f t="shared" si="26"/>
        <v>4</v>
      </c>
    </row>
    <row r="191" spans="1:24" x14ac:dyDescent="0.55000000000000004">
      <c r="A191" s="83" t="s">
        <v>457</v>
      </c>
      <c r="B191" s="84" t="s">
        <v>518</v>
      </c>
      <c r="C191" s="84" t="s">
        <v>440</v>
      </c>
      <c r="D191" s="85" t="s">
        <v>250</v>
      </c>
      <c r="E191" s="77">
        <v>82293</v>
      </c>
      <c r="F191" s="78">
        <v>20471</v>
      </c>
      <c r="G191" s="78"/>
      <c r="H191" s="78" t="s">
        <v>521</v>
      </c>
      <c r="I191" s="78">
        <v>0</v>
      </c>
      <c r="J191" s="78">
        <v>0</v>
      </c>
      <c r="K191">
        <v>0</v>
      </c>
      <c r="L191">
        <f>SUM(Table2[[#This Row],[2021 Reach]:[2023 Reach]])*5</f>
        <v>0</v>
      </c>
      <c r="M191">
        <f>Table2[[#This Row],[2023 Reach]]*5</f>
        <v>0</v>
      </c>
      <c r="N191" s="79">
        <f>IFERROR(Table2[[#This Row],[2023 Reach People]]/Table2[[#This Row],[2023 Affected People]],0)</f>
        <v>0</v>
      </c>
      <c r="O191">
        <f t="shared" si="18"/>
        <v>1</v>
      </c>
      <c r="P191">
        <f t="shared" si="24"/>
        <v>1</v>
      </c>
      <c r="Q191">
        <f t="shared" si="25"/>
        <v>1</v>
      </c>
      <c r="R191">
        <f t="shared" si="21"/>
        <v>1</v>
      </c>
      <c r="S191">
        <f t="shared" si="23"/>
        <v>2</v>
      </c>
      <c r="T191">
        <f>IF(Table2[[#This Row],[Access 2023]]="Hard to reach", 4, IF(Table2[[#This Row],[Access 2023]]="Partially Accessible", 3, 2))</f>
        <v>2</v>
      </c>
      <c r="U191">
        <v>2</v>
      </c>
      <c r="W191">
        <f>SUM(Table2[[#This Row],[PIN Score]],Table2[[#This Row],[Response 2023 Score]],Table2[[#This Row],[Neglected Locality Percentage Response]],Table2[[#This Row],[Security and Access]])</f>
        <v>6</v>
      </c>
      <c r="X191">
        <f t="shared" si="26"/>
        <v>3</v>
      </c>
    </row>
  </sheetData>
  <phoneticPr fontId="18" type="noConversion"/>
  <conditionalFormatting sqref="X1:X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85ec44e-1bab-4c0b-9df0-6ba128686fc9" xsi:nil="true"/>
    <lcf76f155ced4ddcb4097134ff3c332f xmlns="54319f82-ed47-4ad7-8494-e45e7b8a480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520ABD1F0C954DB69FA176BCC1C37C" ma:contentTypeVersion="16" ma:contentTypeDescription="Create a new document." ma:contentTypeScope="" ma:versionID="f3d98c8b3dabd53cede026976a8dd3fc">
  <xsd:schema xmlns:xsd="http://www.w3.org/2001/XMLSchema" xmlns:xs="http://www.w3.org/2001/XMLSchema" xmlns:p="http://schemas.microsoft.com/office/2006/metadata/properties" xmlns:ns2="54319f82-ed47-4ad7-8494-e45e7b8a4807" xmlns:ns3="9d8aa39c-44a2-42fc-8e18-f7d519ded37b" xmlns:ns4="985ec44e-1bab-4c0b-9df0-6ba128686fc9" targetNamespace="http://schemas.microsoft.com/office/2006/metadata/properties" ma:root="true" ma:fieldsID="4b0bb1cce8f169797d611422b8562a8d" ns2:_="" ns3:_="" ns4:_="">
    <xsd:import namespace="54319f82-ed47-4ad7-8494-e45e7b8a4807"/>
    <xsd:import namespace="9d8aa39c-44a2-42fc-8e18-f7d519ded37b"/>
    <xsd:import namespace="985ec44e-1bab-4c0b-9df0-6ba128686f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19f82-ed47-4ad7-8494-e45e7b8a48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8175662-8596-484a-92c7-351d01561e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8aa39c-44a2-42fc-8e18-f7d519ded37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5ec44e-1bab-4c0b-9df0-6ba128686fc9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f8914e94-1ce5-4fa8-af99-f535712f8c27}" ma:internalName="TaxCatchAll" ma:showField="CatchAllData" ma:web="9d8aa39c-44a2-42fc-8e18-f7d519ded3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74608E-63B1-4B7D-B251-2A45AF37F98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386F64D-9C6C-49C6-9B80-D22CE526256B}">
  <ds:schemaRefs>
    <ds:schemaRef ds:uri="http://schemas.microsoft.com/office/2006/metadata/properties"/>
    <ds:schemaRef ds:uri="http://www.w3.org/2000/xmlns/"/>
    <ds:schemaRef ds:uri="985ec44e-1bab-4c0b-9df0-6ba128686fc9"/>
    <ds:schemaRef ds:uri="http://www.w3.org/2001/XMLSchema-instance"/>
    <ds:schemaRef ds:uri="54319f82-ed47-4ad7-8494-e45e7b8a4807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81E1452-CA7F-456C-9FD0-3AB8B4C99EB8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54319f82-ed47-4ad7-8494-e45e7b8a4807"/>
    <ds:schemaRef ds:uri="9d8aa39c-44a2-42fc-8e18-f7d519ded37b"/>
    <ds:schemaRef ds:uri="985ec44e-1bab-4c0b-9df0-6ba128686fc9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Activities</vt:lpstr>
      <vt:lpstr>Objectives</vt:lpstr>
      <vt:lpstr>Targets</vt:lpstr>
      <vt:lpstr>Prioritization calculation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</dc:creator>
  <cp:lastModifiedBy>Iva Vavic</cp:lastModifiedBy>
  <dcterms:created xsi:type="dcterms:W3CDTF">2022-10-07T10:16:36Z</dcterms:created>
  <dcterms:modified xsi:type="dcterms:W3CDTF">2023-12-27T09:03:07Z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0x010100C9520ABD1F0C954DB69FA176BCC1C37C</vt:lpwstr>
  </property>
  <property fmtid="{D5CDD505-2E9C-101B-9397-08002B2CF9AE}" pid="3" name="MediaServiceImageTags">
    <vt:lpwstr/>
  </property>
</Properties>
</file>